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mc:AlternateContent xmlns:mc="http://schemas.openxmlformats.org/markup-compatibility/2006">
    <mc:Choice Requires="x15">
      <x15ac:absPath xmlns:x15ac="http://schemas.microsoft.com/office/spreadsheetml/2010/11/ac" url="H:\COMISSÃO DE LICITAÇÃO\Licitação 2020\Planilha\"/>
    </mc:Choice>
  </mc:AlternateContent>
  <bookViews>
    <workbookView xWindow="0" yWindow="0" windowWidth="28800" windowHeight="12435"/>
  </bookViews>
  <sheets>
    <sheet name="Planilha Orçamentária" sheetId="1" r:id="rId1"/>
    <sheet name="Memória de Cálculo" sheetId="2" r:id="rId2"/>
    <sheet name="Cron " sheetId="6" r:id="rId3"/>
    <sheet name="BDI sem justificativa" sheetId="4" r:id="rId4"/>
    <sheet name="Base dados - TCU 2622_2013" sheetId="5" r:id="rId5"/>
  </sheets>
  <externalReferences>
    <externalReference r:id="rId6"/>
  </externalReferences>
  <definedNames>
    <definedName name="_xlnm._FilterDatabase" localSheetId="0" hidden="1">'Planilha Orçamentária'!$C$11:$C$230</definedName>
    <definedName name="_xlnm.Print_Area" localSheetId="3">'BDI sem justificativa'!$A$2:$E$47</definedName>
    <definedName name="_xlnm.Print_Area" localSheetId="2">'Cron '!$A$1:$K$37</definedName>
    <definedName name="_xlnm.Print_Area" localSheetId="1">'Memória de Cálculo'!$A$1:$M$1506</definedName>
    <definedName name="_xlnm.Print_Area" localSheetId="0">'Planilha Orçamentária'!$A$1:$I$268</definedName>
    <definedName name="sigla_obras">'Base dados - TCU 2622_2013'!$A$7:$A$14</definedName>
    <definedName name="sigla_sn">'Base dados - TCU 2622_2013'!$A$2:$A$3</definedName>
    <definedName name="_xlnm.Print_Titles" localSheetId="1">'Memória de Cálculo'!$1:$15</definedName>
    <definedName name="_xlnm.Print_Titles" localSheetId="0">'Planilha Orçamentária'!$1:$15</definedName>
  </definedNames>
  <calcPr calcId="191029"/>
</workbook>
</file>

<file path=xl/calcChain.xml><?xml version="1.0" encoding="utf-8"?>
<calcChain xmlns="http://schemas.openxmlformats.org/spreadsheetml/2006/main">
  <c r="H37" i="6" l="1"/>
  <c r="G37" i="6"/>
  <c r="H36" i="6"/>
  <c r="G36" i="6"/>
  <c r="M29" i="6" l="1"/>
  <c r="G34" i="6"/>
  <c r="N33" i="6" l="1"/>
  <c r="M19" i="6"/>
  <c r="M20" i="6"/>
  <c r="M21" i="6"/>
  <c r="M22" i="6"/>
  <c r="M23" i="6"/>
  <c r="M24" i="6"/>
  <c r="M25" i="6"/>
  <c r="M26" i="6"/>
  <c r="M27" i="6"/>
  <c r="M28" i="6"/>
  <c r="M30" i="6"/>
  <c r="M31" i="6"/>
  <c r="M32" i="6"/>
  <c r="M18" i="6"/>
  <c r="I34" i="6" l="1"/>
  <c r="H34" i="6"/>
  <c r="F34" i="6"/>
  <c r="E34" i="6"/>
  <c r="D34" i="6"/>
  <c r="C34" i="6"/>
  <c r="B18" i="6"/>
  <c r="B20" i="6"/>
  <c r="B21" i="6"/>
  <c r="B22" i="6"/>
  <c r="B23" i="6"/>
  <c r="B24" i="6"/>
  <c r="B25" i="6"/>
  <c r="B26" i="6"/>
  <c r="B27" i="6"/>
  <c r="B28" i="6"/>
  <c r="B29" i="6"/>
  <c r="B30" i="6"/>
  <c r="B31" i="6"/>
  <c r="B32" i="6"/>
  <c r="B19" i="6"/>
  <c r="A32" i="6"/>
  <c r="A31" i="6"/>
  <c r="A30" i="6"/>
  <c r="A29" i="6"/>
  <c r="A28" i="6"/>
  <c r="A27" i="6"/>
  <c r="A26" i="6"/>
  <c r="A25" i="6"/>
  <c r="A24" i="6"/>
  <c r="A23" i="6"/>
  <c r="A22" i="6"/>
  <c r="A21" i="6"/>
  <c r="A20" i="6"/>
  <c r="A19" i="6"/>
  <c r="A18" i="6"/>
  <c r="M34" i="6" l="1"/>
  <c r="M309" i="2"/>
  <c r="M308" i="2" s="1"/>
  <c r="M302" i="2"/>
  <c r="M301" i="2"/>
  <c r="M298" i="2"/>
  <c r="M297" i="2" s="1"/>
  <c r="M295" i="2"/>
  <c r="M294" i="2" s="1"/>
  <c r="M291" i="2"/>
  <c r="M787" i="2"/>
  <c r="M786" i="2" s="1"/>
  <c r="M780" i="2"/>
  <c r="M779" i="2" s="1"/>
  <c r="M784" i="2"/>
  <c r="M783" i="2"/>
  <c r="M777" i="2"/>
  <c r="M776" i="2" s="1"/>
  <c r="H94" i="1"/>
  <c r="G94" i="1"/>
  <c r="I94" i="1" s="1"/>
  <c r="M756" i="2"/>
  <c r="M753" i="2"/>
  <c r="M752" i="2"/>
  <c r="M749" i="2"/>
  <c r="M748" i="2"/>
  <c r="M744" i="2"/>
  <c r="M741" i="2"/>
  <c r="M740" i="2"/>
  <c r="M737" i="2"/>
  <c r="M736" i="2"/>
  <c r="M733" i="2"/>
  <c r="M732" i="2"/>
  <c r="M729" i="2"/>
  <c r="M728" i="2"/>
  <c r="M761" i="2"/>
  <c r="M760" i="2" s="1"/>
  <c r="M782" i="2" l="1"/>
  <c r="M300" i="2"/>
  <c r="M293" i="2" s="1"/>
  <c r="M290" i="2" s="1"/>
  <c r="M775" i="2"/>
  <c r="G196" i="1"/>
  <c r="I196" i="1" s="1"/>
  <c r="H196" i="1"/>
  <c r="G197" i="1"/>
  <c r="I197" i="1" s="1"/>
  <c r="H197" i="1"/>
  <c r="G198" i="1"/>
  <c r="I198" i="1" s="1"/>
  <c r="H198" i="1"/>
  <c r="G199" i="1"/>
  <c r="I199" i="1" s="1"/>
  <c r="H199" i="1"/>
  <c r="G200" i="1"/>
  <c r="I200" i="1" s="1"/>
  <c r="H200" i="1"/>
  <c r="H195" i="1"/>
  <c r="G195" i="1"/>
  <c r="I195" i="1" s="1"/>
  <c r="G186" i="1"/>
  <c r="I186" i="1" s="1"/>
  <c r="H186" i="1"/>
  <c r="G187" i="1"/>
  <c r="I187" i="1" s="1"/>
  <c r="H187" i="1"/>
  <c r="G188" i="1"/>
  <c r="I188" i="1" s="1"/>
  <c r="H188" i="1"/>
  <c r="G189" i="1"/>
  <c r="I189" i="1" s="1"/>
  <c r="H189" i="1"/>
  <c r="G190" i="1"/>
  <c r="I190" i="1" s="1"/>
  <c r="H190" i="1"/>
  <c r="G191" i="1"/>
  <c r="I191" i="1" s="1"/>
  <c r="H191" i="1"/>
  <c r="G192" i="1"/>
  <c r="I192" i="1" s="1"/>
  <c r="H192" i="1"/>
  <c r="H185" i="1"/>
  <c r="G185" i="1"/>
  <c r="I185" i="1" s="1"/>
  <c r="C36" i="6" l="1"/>
  <c r="D36" i="6" s="1"/>
  <c r="E36" i="6" s="1"/>
  <c r="I194" i="1"/>
  <c r="I184" i="1"/>
  <c r="H194" i="1"/>
  <c r="H184" i="1"/>
  <c r="F36" i="6" l="1"/>
  <c r="I36" i="6" s="1"/>
  <c r="G123" i="1"/>
  <c r="I123" i="1" s="1"/>
  <c r="H123" i="1"/>
  <c r="G124" i="1"/>
  <c r="I124" i="1" s="1"/>
  <c r="H124" i="1"/>
  <c r="G125" i="1"/>
  <c r="I125" i="1" s="1"/>
  <c r="H125" i="1"/>
  <c r="G126" i="1"/>
  <c r="I126" i="1" s="1"/>
  <c r="H126" i="1"/>
  <c r="G127" i="1"/>
  <c r="I127" i="1" s="1"/>
  <c r="H127" i="1"/>
  <c r="G128" i="1"/>
  <c r="I128" i="1" s="1"/>
  <c r="H128" i="1"/>
  <c r="G129" i="1"/>
  <c r="I129" i="1" s="1"/>
  <c r="H129" i="1"/>
  <c r="G130" i="1"/>
  <c r="I130" i="1" s="1"/>
  <c r="H130" i="1"/>
  <c r="G131" i="1"/>
  <c r="I131" i="1" s="1"/>
  <c r="H131" i="1"/>
  <c r="G132" i="1"/>
  <c r="I132" i="1" s="1"/>
  <c r="H132" i="1"/>
  <c r="G133" i="1"/>
  <c r="I133" i="1" s="1"/>
  <c r="H133" i="1"/>
  <c r="G134" i="1"/>
  <c r="I134" i="1" s="1"/>
  <c r="H134" i="1"/>
  <c r="G135" i="1"/>
  <c r="I135" i="1" s="1"/>
  <c r="H135" i="1"/>
  <c r="G136" i="1"/>
  <c r="I136" i="1" s="1"/>
  <c r="H136" i="1"/>
  <c r="G137" i="1"/>
  <c r="I137" i="1" s="1"/>
  <c r="H137" i="1"/>
  <c r="G138" i="1"/>
  <c r="I138" i="1" s="1"/>
  <c r="H138" i="1"/>
  <c r="G139" i="1"/>
  <c r="I139" i="1" s="1"/>
  <c r="H139" i="1"/>
  <c r="G140" i="1"/>
  <c r="I140" i="1" s="1"/>
  <c r="H140" i="1"/>
  <c r="G141" i="1"/>
  <c r="I141" i="1" s="1"/>
  <c r="H141" i="1"/>
  <c r="G142" i="1"/>
  <c r="I142" i="1" s="1"/>
  <c r="H142" i="1"/>
  <c r="G143" i="1"/>
  <c r="I143" i="1" s="1"/>
  <c r="H143" i="1"/>
  <c r="G144" i="1"/>
  <c r="I144" i="1" s="1"/>
  <c r="H144" i="1"/>
  <c r="G145" i="1"/>
  <c r="I145" i="1" s="1"/>
  <c r="H145" i="1"/>
  <c r="G146" i="1"/>
  <c r="I146" i="1" s="1"/>
  <c r="H146" i="1"/>
  <c r="G147" i="1"/>
  <c r="I147" i="1" s="1"/>
  <c r="H147" i="1"/>
  <c r="G148" i="1"/>
  <c r="I148" i="1" s="1"/>
  <c r="H148" i="1"/>
  <c r="G149" i="1"/>
  <c r="I149" i="1" s="1"/>
  <c r="H149" i="1"/>
  <c r="G150" i="1"/>
  <c r="I150" i="1" s="1"/>
  <c r="H150" i="1"/>
  <c r="G151" i="1"/>
  <c r="I151" i="1" s="1"/>
  <c r="H151" i="1"/>
  <c r="G152" i="1"/>
  <c r="I152" i="1" s="1"/>
  <c r="H152" i="1"/>
  <c r="G153" i="1"/>
  <c r="I153" i="1" s="1"/>
  <c r="H153" i="1"/>
  <c r="G154" i="1"/>
  <c r="I154" i="1" s="1"/>
  <c r="H154" i="1"/>
  <c r="G155" i="1"/>
  <c r="I155" i="1" s="1"/>
  <c r="H155" i="1"/>
  <c r="G156" i="1"/>
  <c r="I156" i="1" s="1"/>
  <c r="H156" i="1"/>
  <c r="G157" i="1"/>
  <c r="I157" i="1" s="1"/>
  <c r="H157" i="1"/>
  <c r="G158" i="1"/>
  <c r="I158" i="1" s="1"/>
  <c r="H158" i="1"/>
  <c r="G159" i="1"/>
  <c r="I159" i="1" s="1"/>
  <c r="H159" i="1"/>
  <c r="G160" i="1"/>
  <c r="I160" i="1" s="1"/>
  <c r="H160" i="1"/>
  <c r="G161" i="1"/>
  <c r="I161" i="1" s="1"/>
  <c r="H161" i="1"/>
  <c r="G162" i="1"/>
  <c r="I162" i="1" s="1"/>
  <c r="H162" i="1"/>
  <c r="G163" i="1"/>
  <c r="I163" i="1" s="1"/>
  <c r="H163" i="1"/>
  <c r="G164" i="1"/>
  <c r="I164" i="1" s="1"/>
  <c r="H164" i="1"/>
  <c r="G165" i="1"/>
  <c r="I165" i="1" s="1"/>
  <c r="H165" i="1"/>
  <c r="G166" i="1"/>
  <c r="I166" i="1" s="1"/>
  <c r="H166" i="1"/>
  <c r="G167" i="1"/>
  <c r="I167" i="1" s="1"/>
  <c r="H167" i="1"/>
  <c r="G168" i="1"/>
  <c r="I168" i="1" s="1"/>
  <c r="H168" i="1"/>
  <c r="G169" i="1"/>
  <c r="I169" i="1" s="1"/>
  <c r="H169" i="1"/>
  <c r="G170" i="1"/>
  <c r="I170" i="1" s="1"/>
  <c r="H170" i="1"/>
  <c r="G171" i="1"/>
  <c r="I171" i="1" s="1"/>
  <c r="H171" i="1"/>
  <c r="G172" i="1"/>
  <c r="I172" i="1" s="1"/>
  <c r="H172" i="1"/>
  <c r="G173" i="1"/>
  <c r="I173" i="1" s="1"/>
  <c r="H173" i="1"/>
  <c r="G174" i="1"/>
  <c r="I174" i="1" s="1"/>
  <c r="H174" i="1"/>
  <c r="G175" i="1"/>
  <c r="I175" i="1" s="1"/>
  <c r="H175" i="1"/>
  <c r="G176" i="1"/>
  <c r="I176" i="1" s="1"/>
  <c r="H176" i="1"/>
  <c r="G177" i="1"/>
  <c r="I177" i="1" s="1"/>
  <c r="H177" i="1"/>
  <c r="G178" i="1"/>
  <c r="I178" i="1" s="1"/>
  <c r="H178" i="1"/>
  <c r="G179" i="1"/>
  <c r="I179" i="1" s="1"/>
  <c r="H179" i="1"/>
  <c r="G180" i="1"/>
  <c r="I180" i="1" s="1"/>
  <c r="H180" i="1"/>
  <c r="G181" i="1"/>
  <c r="I181" i="1" s="1"/>
  <c r="H181" i="1"/>
  <c r="G182" i="1"/>
  <c r="I182" i="1" s="1"/>
  <c r="H182" i="1"/>
  <c r="G122" i="1"/>
  <c r="I122" i="1" s="1"/>
  <c r="H122" i="1"/>
  <c r="H121" i="1"/>
  <c r="G121" i="1"/>
  <c r="I121" i="1" s="1"/>
  <c r="G95" i="1"/>
  <c r="I95" i="1" s="1"/>
  <c r="H95" i="1"/>
  <c r="I119" i="1" l="1"/>
  <c r="I117" i="1" s="1"/>
  <c r="J29" i="6" s="1"/>
  <c r="N29" i="6" s="1"/>
  <c r="H119" i="1"/>
  <c r="H117" i="1" s="1"/>
  <c r="G229" i="1"/>
  <c r="G212" i="1"/>
  <c r="G213" i="1"/>
  <c r="G214" i="1"/>
  <c r="G215" i="1"/>
  <c r="G216" i="1"/>
  <c r="G217" i="1"/>
  <c r="G218" i="1"/>
  <c r="G219" i="1"/>
  <c r="G220" i="1"/>
  <c r="G221" i="1"/>
  <c r="G222" i="1"/>
  <c r="G223" i="1"/>
  <c r="G224" i="1"/>
  <c r="G225" i="1"/>
  <c r="G226" i="1"/>
  <c r="G211" i="1"/>
  <c r="G204" i="1"/>
  <c r="G205" i="1"/>
  <c r="G206" i="1"/>
  <c r="G207" i="1"/>
  <c r="G208" i="1"/>
  <c r="G203" i="1"/>
  <c r="G112" i="1"/>
  <c r="G113" i="1"/>
  <c r="G114" i="1"/>
  <c r="G115" i="1"/>
  <c r="G111" i="1"/>
  <c r="G99" i="1"/>
  <c r="G100" i="1"/>
  <c r="G101" i="1"/>
  <c r="G102" i="1"/>
  <c r="G103" i="1"/>
  <c r="G104" i="1"/>
  <c r="G105" i="1"/>
  <c r="G106" i="1"/>
  <c r="G107" i="1"/>
  <c r="G108" i="1"/>
  <c r="G98" i="1"/>
  <c r="G93" i="1"/>
  <c r="G92" i="1"/>
  <c r="G72" i="1"/>
  <c r="G73" i="1"/>
  <c r="G74" i="1"/>
  <c r="G75" i="1"/>
  <c r="G76" i="1"/>
  <c r="G77" i="1"/>
  <c r="G78" i="1"/>
  <c r="G79" i="1"/>
  <c r="G80" i="1"/>
  <c r="G81" i="1"/>
  <c r="G82" i="1"/>
  <c r="G83" i="1"/>
  <c r="G84" i="1"/>
  <c r="G85" i="1"/>
  <c r="G86" i="1"/>
  <c r="G87" i="1"/>
  <c r="G88" i="1"/>
  <c r="G89" i="1"/>
  <c r="G71" i="1"/>
  <c r="G66" i="1"/>
  <c r="G67" i="1"/>
  <c r="G68" i="1"/>
  <c r="G65" i="1"/>
  <c r="G61" i="1"/>
  <c r="G62" i="1"/>
  <c r="G60" i="1"/>
  <c r="G56" i="1"/>
  <c r="G57" i="1"/>
  <c r="G55" i="1"/>
  <c r="G51" i="1"/>
  <c r="G52" i="1"/>
  <c r="G50" i="1"/>
  <c r="G42" i="1"/>
  <c r="G43" i="1"/>
  <c r="G44" i="1"/>
  <c r="G45" i="1"/>
  <c r="G46" i="1"/>
  <c r="G47" i="1"/>
  <c r="G41" i="1"/>
  <c r="G22" i="1"/>
  <c r="G23" i="1"/>
  <c r="G24" i="1"/>
  <c r="G25" i="1"/>
  <c r="G26" i="1"/>
  <c r="G27" i="1"/>
  <c r="G28" i="1"/>
  <c r="G29" i="1"/>
  <c r="G30" i="1"/>
  <c r="G31" i="1"/>
  <c r="G32" i="1"/>
  <c r="G33" i="1"/>
  <c r="G34" i="1"/>
  <c r="G35" i="1"/>
  <c r="G36" i="1"/>
  <c r="G37" i="1"/>
  <c r="G38" i="1"/>
  <c r="G21" i="1"/>
  <c r="G18" i="1"/>
  <c r="G17" i="1"/>
  <c r="T14" i="5"/>
  <c r="T13" i="5"/>
  <c r="T12" i="5"/>
  <c r="T11" i="5"/>
  <c r="T10" i="5"/>
  <c r="T9" i="5"/>
  <c r="T8" i="5"/>
  <c r="T7" i="5"/>
  <c r="A40" i="4"/>
  <c r="M27" i="4"/>
  <c r="K27" i="4"/>
  <c r="J27" i="4" s="1"/>
  <c r="C23" i="4" s="1"/>
  <c r="I27" i="4"/>
  <c r="E28" i="4" s="1"/>
  <c r="B23" i="4" s="1"/>
  <c r="E27" i="4"/>
  <c r="D27" i="4"/>
  <c r="E24" i="4"/>
  <c r="D24" i="4"/>
  <c r="C24" i="4"/>
  <c r="B24" i="4"/>
  <c r="E22" i="4"/>
  <c r="A22" i="4"/>
  <c r="D22" i="4" s="1"/>
  <c r="D21" i="4"/>
  <c r="C21" i="4"/>
  <c r="B21" i="4"/>
  <c r="D20" i="4"/>
  <c r="C20" i="4"/>
  <c r="B20" i="4"/>
  <c r="D19" i="4"/>
  <c r="C19" i="4"/>
  <c r="B19" i="4"/>
  <c r="D18" i="4"/>
  <c r="C18" i="4"/>
  <c r="B18" i="4"/>
  <c r="D17" i="4"/>
  <c r="C17" i="4"/>
  <c r="B17" i="4"/>
  <c r="D16" i="4"/>
  <c r="C16" i="4"/>
  <c r="B16" i="4"/>
  <c r="D15" i="4"/>
  <c r="C15" i="4"/>
  <c r="B15" i="4"/>
  <c r="D14" i="4"/>
  <c r="C14" i="4"/>
  <c r="B14" i="4"/>
  <c r="F10" i="4"/>
  <c r="F9" i="4"/>
  <c r="F8" i="4"/>
  <c r="B22" i="4" l="1"/>
  <c r="F20" i="4"/>
  <c r="F15" i="4"/>
  <c r="F19" i="4"/>
  <c r="L28" i="4"/>
  <c r="F14" i="4"/>
  <c r="F18" i="4"/>
  <c r="F17" i="4"/>
  <c r="F21" i="4"/>
  <c r="F16" i="4"/>
  <c r="F22" i="4"/>
  <c r="J28" i="4"/>
  <c r="C22" i="4"/>
  <c r="L27" i="4"/>
  <c r="D23" i="4" s="1"/>
  <c r="E29" i="4"/>
  <c r="I229" i="1"/>
  <c r="I228" i="1" s="1"/>
  <c r="J32" i="6" s="1"/>
  <c r="N32" i="6" s="1"/>
  <c r="I212" i="1"/>
  <c r="I213" i="1"/>
  <c r="I214" i="1"/>
  <c r="I215" i="1"/>
  <c r="I216" i="1"/>
  <c r="I217" i="1"/>
  <c r="I218" i="1"/>
  <c r="I219" i="1"/>
  <c r="I220" i="1"/>
  <c r="I221" i="1"/>
  <c r="I222" i="1"/>
  <c r="I223" i="1"/>
  <c r="I224" i="1"/>
  <c r="I225" i="1"/>
  <c r="I226" i="1"/>
  <c r="I211" i="1"/>
  <c r="I204" i="1"/>
  <c r="I205" i="1"/>
  <c r="I206" i="1"/>
  <c r="I207" i="1"/>
  <c r="I208" i="1"/>
  <c r="I203" i="1"/>
  <c r="I112" i="1"/>
  <c r="I113" i="1"/>
  <c r="I114" i="1"/>
  <c r="I115" i="1"/>
  <c r="I111" i="1"/>
  <c r="I99" i="1"/>
  <c r="I100" i="1"/>
  <c r="I101" i="1"/>
  <c r="I102" i="1"/>
  <c r="I103" i="1"/>
  <c r="I104" i="1"/>
  <c r="I105" i="1"/>
  <c r="I106" i="1"/>
  <c r="I107" i="1"/>
  <c r="I108" i="1"/>
  <c r="I98" i="1"/>
  <c r="I93" i="1"/>
  <c r="I92" i="1"/>
  <c r="I78" i="1"/>
  <c r="I79" i="1"/>
  <c r="I80" i="1"/>
  <c r="I81" i="1"/>
  <c r="I82" i="1"/>
  <c r="I83" i="1"/>
  <c r="I84" i="1"/>
  <c r="I85" i="1"/>
  <c r="I86" i="1"/>
  <c r="I87" i="1"/>
  <c r="I88" i="1"/>
  <c r="I89" i="1"/>
  <c r="I76" i="1"/>
  <c r="I77" i="1"/>
  <c r="I75" i="1"/>
  <c r="I74" i="1"/>
  <c r="I72" i="1"/>
  <c r="I73" i="1"/>
  <c r="I71" i="1"/>
  <c r="I66" i="1"/>
  <c r="I67" i="1"/>
  <c r="I68" i="1"/>
  <c r="I65" i="1"/>
  <c r="I61" i="1"/>
  <c r="I62" i="1"/>
  <c r="I60" i="1"/>
  <c r="I56" i="1"/>
  <c r="I57" i="1"/>
  <c r="I55" i="1"/>
  <c r="I51" i="1"/>
  <c r="I52" i="1"/>
  <c r="I50" i="1"/>
  <c r="I42" i="1"/>
  <c r="I43" i="1"/>
  <c r="I44" i="1"/>
  <c r="I45" i="1"/>
  <c r="I46" i="1"/>
  <c r="I47" i="1"/>
  <c r="I41" i="1"/>
  <c r="I22" i="1"/>
  <c r="I23" i="1"/>
  <c r="I24" i="1"/>
  <c r="I25" i="1"/>
  <c r="I26" i="1"/>
  <c r="I27" i="1"/>
  <c r="I28" i="1"/>
  <c r="I29" i="1"/>
  <c r="I30" i="1"/>
  <c r="I31" i="1"/>
  <c r="I32" i="1"/>
  <c r="I33" i="1"/>
  <c r="I34" i="1"/>
  <c r="I35" i="1"/>
  <c r="I36" i="1"/>
  <c r="I37" i="1"/>
  <c r="I38" i="1"/>
  <c r="I21" i="1"/>
  <c r="I18" i="1"/>
  <c r="I17" i="1"/>
  <c r="H229" i="1"/>
  <c r="H228" i="1" s="1"/>
  <c r="H212" i="1"/>
  <c r="H213" i="1"/>
  <c r="H214" i="1"/>
  <c r="H215" i="1"/>
  <c r="H216" i="1"/>
  <c r="H217" i="1"/>
  <c r="H218" i="1"/>
  <c r="H219" i="1"/>
  <c r="H220" i="1"/>
  <c r="H221" i="1"/>
  <c r="H222" i="1"/>
  <c r="H223" i="1"/>
  <c r="H224" i="1"/>
  <c r="H225" i="1"/>
  <c r="H226" i="1"/>
  <c r="H211" i="1"/>
  <c r="H204" i="1"/>
  <c r="H205" i="1"/>
  <c r="H206" i="1"/>
  <c r="H207" i="1"/>
  <c r="H208" i="1"/>
  <c r="H203" i="1"/>
  <c r="H112" i="1"/>
  <c r="H113" i="1"/>
  <c r="H114" i="1"/>
  <c r="H115" i="1"/>
  <c r="H111" i="1"/>
  <c r="H99" i="1"/>
  <c r="H100" i="1"/>
  <c r="H101" i="1"/>
  <c r="H102" i="1"/>
  <c r="H103" i="1"/>
  <c r="H104" i="1"/>
  <c r="H105" i="1"/>
  <c r="H106" i="1"/>
  <c r="H107" i="1"/>
  <c r="H108" i="1"/>
  <c r="H98" i="1"/>
  <c r="H93" i="1"/>
  <c r="H92" i="1"/>
  <c r="H72" i="1"/>
  <c r="H73" i="1"/>
  <c r="H74" i="1"/>
  <c r="H75" i="1"/>
  <c r="H76" i="1"/>
  <c r="H77" i="1"/>
  <c r="H78" i="1"/>
  <c r="H79" i="1"/>
  <c r="H80" i="1"/>
  <c r="H81" i="1"/>
  <c r="H82" i="1"/>
  <c r="H83" i="1"/>
  <c r="H84" i="1"/>
  <c r="H85" i="1"/>
  <c r="H86" i="1"/>
  <c r="H87" i="1"/>
  <c r="H88" i="1"/>
  <c r="H89" i="1"/>
  <c r="H71" i="1"/>
  <c r="H66" i="1"/>
  <c r="H67" i="1"/>
  <c r="H68" i="1"/>
  <c r="H65" i="1"/>
  <c r="H61" i="1"/>
  <c r="H62" i="1"/>
  <c r="H60" i="1"/>
  <c r="H56" i="1"/>
  <c r="H57" i="1"/>
  <c r="H55" i="1"/>
  <c r="H51" i="1"/>
  <c r="H52" i="1"/>
  <c r="H50" i="1"/>
  <c r="H42" i="1"/>
  <c r="H43" i="1"/>
  <c r="H44" i="1"/>
  <c r="H45" i="1"/>
  <c r="H46" i="1"/>
  <c r="H47" i="1"/>
  <c r="H41" i="1"/>
  <c r="H22" i="1"/>
  <c r="H23" i="1"/>
  <c r="H24" i="1"/>
  <c r="H25" i="1"/>
  <c r="H26" i="1"/>
  <c r="H27" i="1"/>
  <c r="H28" i="1"/>
  <c r="H29" i="1"/>
  <c r="H30" i="1"/>
  <c r="H31" i="1"/>
  <c r="H32" i="1"/>
  <c r="H33" i="1"/>
  <c r="H34" i="1"/>
  <c r="H35" i="1"/>
  <c r="H36" i="1"/>
  <c r="H37" i="1"/>
  <c r="H38" i="1"/>
  <c r="H21" i="1"/>
  <c r="H18" i="1"/>
  <c r="H17" i="1"/>
  <c r="H59" i="1" l="1"/>
  <c r="I91" i="1"/>
  <c r="J26" i="6" s="1"/>
  <c r="N26" i="6" s="1"/>
  <c r="H97" i="1"/>
  <c r="H16" i="1"/>
  <c r="H91" i="1"/>
  <c r="H202" i="1"/>
  <c r="H210" i="1"/>
  <c r="I59" i="1"/>
  <c r="J23" i="6" s="1"/>
  <c r="N23" i="6" s="1"/>
  <c r="H40" i="1"/>
  <c r="H54" i="1"/>
  <c r="H64" i="1"/>
  <c r="H70" i="1"/>
  <c r="H110" i="1"/>
  <c r="H20" i="1"/>
  <c r="H49" i="1"/>
  <c r="I202" i="1"/>
  <c r="J30" i="6" s="1"/>
  <c r="N30" i="6" s="1"/>
  <c r="I210" i="1"/>
  <c r="J31" i="6" s="1"/>
  <c r="N31" i="6" s="1"/>
  <c r="I110" i="1"/>
  <c r="J28" i="6" s="1"/>
  <c r="N28" i="6" s="1"/>
  <c r="I97" i="1"/>
  <c r="J27" i="6" s="1"/>
  <c r="N27" i="6" s="1"/>
  <c r="I70" i="1"/>
  <c r="J25" i="6" s="1"/>
  <c r="N25" i="6" s="1"/>
  <c r="I64" i="1"/>
  <c r="J24" i="6" s="1"/>
  <c r="N24" i="6" s="1"/>
  <c r="I54" i="1"/>
  <c r="J22" i="6" s="1"/>
  <c r="N22" i="6" s="1"/>
  <c r="I49" i="1"/>
  <c r="J21" i="6" s="1"/>
  <c r="N21" i="6" s="1"/>
  <c r="I40" i="1"/>
  <c r="J20" i="6" s="1"/>
  <c r="N20" i="6" s="1"/>
  <c r="I16" i="1"/>
  <c r="J18" i="6" s="1"/>
  <c r="N18" i="6" s="1"/>
  <c r="I20" i="1"/>
  <c r="J19" i="6" s="1"/>
  <c r="N19" i="6" s="1"/>
  <c r="G23" i="4"/>
  <c r="E23" i="4" s="1"/>
  <c r="E26" i="4" s="1"/>
  <c r="F24" i="4" s="1"/>
  <c r="M632" i="2"/>
  <c r="M631" i="2"/>
  <c r="M628" i="2"/>
  <c r="M627" i="2" s="1"/>
  <c r="M625" i="2"/>
  <c r="M624" i="2" s="1"/>
  <c r="M1358" i="2"/>
  <c r="M1357" i="2"/>
  <c r="M1356" i="2"/>
  <c r="M1355" i="2"/>
  <c r="M1354" i="2"/>
  <c r="M1353" i="2"/>
  <c r="M1350" i="2"/>
  <c r="M1349" i="2" s="1"/>
  <c r="M1347" i="2"/>
  <c r="M1346" i="2"/>
  <c r="M1342" i="2"/>
  <c r="M1343" i="2"/>
  <c r="M1341" i="2"/>
  <c r="M622" i="2"/>
  <c r="M621" i="2" s="1"/>
  <c r="J34" i="6" l="1"/>
  <c r="I231" i="1"/>
  <c r="H231" i="1"/>
  <c r="M630" i="2"/>
  <c r="M620" i="2" s="1"/>
  <c r="M1340" i="2"/>
  <c r="M1345" i="2"/>
  <c r="M1352" i="2"/>
  <c r="M755" i="2"/>
  <c r="M743" i="2"/>
  <c r="M686" i="2"/>
  <c r="M685" i="2"/>
  <c r="M684" i="2"/>
  <c r="M722" i="2"/>
  <c r="M721" i="2" s="1"/>
  <c r="M719" i="2"/>
  <c r="M718" i="2"/>
  <c r="M715" i="2"/>
  <c r="M714" i="2"/>
  <c r="M681" i="2"/>
  <c r="M710" i="2"/>
  <c r="M709" i="2" s="1"/>
  <c r="M680" i="2"/>
  <c r="M679" i="2"/>
  <c r="M707" i="2"/>
  <c r="M706" i="2"/>
  <c r="M703" i="2"/>
  <c r="M702" i="2"/>
  <c r="M699" i="2"/>
  <c r="M698" i="2"/>
  <c r="M695" i="2"/>
  <c r="M694" i="2"/>
  <c r="M675" i="2"/>
  <c r="M674" i="2"/>
  <c r="M673" i="2"/>
  <c r="N34" i="6" l="1"/>
  <c r="G35" i="6"/>
  <c r="H35" i="6"/>
  <c r="K21" i="6"/>
  <c r="K29" i="6"/>
  <c r="K18" i="6"/>
  <c r="D35" i="6"/>
  <c r="I35" i="6"/>
  <c r="K26" i="6"/>
  <c r="K30" i="6"/>
  <c r="K19" i="6"/>
  <c r="K27" i="6"/>
  <c r="F35" i="6"/>
  <c r="K24" i="6"/>
  <c r="K32" i="6"/>
  <c r="K22" i="6"/>
  <c r="E35" i="6"/>
  <c r="C35" i="6"/>
  <c r="C37" i="6" s="1"/>
  <c r="K23" i="6"/>
  <c r="K31" i="6"/>
  <c r="K20" i="6"/>
  <c r="K28" i="6"/>
  <c r="K25" i="6"/>
  <c r="M1339" i="2"/>
  <c r="M731" i="2"/>
  <c r="M739" i="2"/>
  <c r="M747" i="2"/>
  <c r="M683" i="2"/>
  <c r="M727" i="2"/>
  <c r="M735" i="2"/>
  <c r="M713" i="2"/>
  <c r="M672" i="2"/>
  <c r="M671" i="2" s="1"/>
  <c r="M705" i="2"/>
  <c r="M701" i="2"/>
  <c r="M697" i="2"/>
  <c r="M678" i="2"/>
  <c r="M751" i="2"/>
  <c r="M717" i="2"/>
  <c r="M693" i="2"/>
  <c r="J1334" i="2"/>
  <c r="J1333" i="2"/>
  <c r="M646" i="2"/>
  <c r="M645" i="2" s="1"/>
  <c r="M643" i="2"/>
  <c r="M642" i="2" s="1"/>
  <c r="M640" i="2"/>
  <c r="M639" i="2" s="1"/>
  <c r="M637" i="2"/>
  <c r="M636" i="2" s="1"/>
  <c r="M1490" i="2"/>
  <c r="M1489" i="2" s="1"/>
  <c r="M1485" i="2"/>
  <c r="M1484" i="2" s="1"/>
  <c r="M1482" i="2"/>
  <c r="M1481" i="2"/>
  <c r="M1476" i="2"/>
  <c r="M1475" i="2" s="1"/>
  <c r="M1474" i="2" s="1"/>
  <c r="M1471" i="2"/>
  <c r="M1470" i="2" s="1"/>
  <c r="M1469" i="2" s="1"/>
  <c r="M1466" i="2"/>
  <c r="M1465" i="2" s="1"/>
  <c r="M1464" i="2" s="1"/>
  <c r="M1461" i="2"/>
  <c r="M1460" i="2" s="1"/>
  <c r="M1459" i="2" s="1"/>
  <c r="M1456" i="2"/>
  <c r="M1455" i="2" s="1"/>
  <c r="M1454" i="2" s="1"/>
  <c r="M1451" i="2"/>
  <c r="M1450" i="2" s="1"/>
  <c r="M1449" i="2" s="1"/>
  <c r="M1446" i="2"/>
  <c r="M1445" i="2" s="1"/>
  <c r="M1443" i="2"/>
  <c r="M1442" i="2" s="1"/>
  <c r="M1438" i="2"/>
  <c r="M1437" i="2" s="1"/>
  <c r="M1435" i="2"/>
  <c r="M1434" i="2" s="1"/>
  <c r="M1430" i="2"/>
  <c r="M1429" i="2"/>
  <c r="M1426" i="2"/>
  <c r="M1425" i="2"/>
  <c r="M1424" i="2"/>
  <c r="M1419" i="2"/>
  <c r="M1418" i="2"/>
  <c r="M1415" i="2"/>
  <c r="M1414" i="2"/>
  <c r="M1409" i="2"/>
  <c r="M1408" i="2"/>
  <c r="M1407" i="2"/>
  <c r="M1404" i="2"/>
  <c r="M1403" i="2"/>
  <c r="M1402" i="2"/>
  <c r="M1397" i="2"/>
  <c r="M1396" i="2"/>
  <c r="M1395" i="2"/>
  <c r="M1392" i="2"/>
  <c r="M1391" i="2"/>
  <c r="M1390" i="2"/>
  <c r="M1387" i="2"/>
  <c r="M1386" i="2" s="1"/>
  <c r="M1382" i="2"/>
  <c r="M1381" i="2"/>
  <c r="M1378" i="2"/>
  <c r="M1377" i="2"/>
  <c r="M1376" i="2"/>
  <c r="M1373" i="2"/>
  <c r="M1372" i="2" s="1"/>
  <c r="M1368" i="2"/>
  <c r="M1367" i="2" s="1"/>
  <c r="M1366" i="2" s="1"/>
  <c r="M1363" i="2"/>
  <c r="M1362" i="2" s="1"/>
  <c r="J1330" i="2"/>
  <c r="M1328" i="2" s="1"/>
  <c r="J1326" i="2"/>
  <c r="J1325" i="2"/>
  <c r="J1324" i="2"/>
  <c r="J1323" i="2"/>
  <c r="J1321" i="2"/>
  <c r="J1320" i="2"/>
  <c r="J1316" i="2"/>
  <c r="J1315" i="2"/>
  <c r="J1313" i="2"/>
  <c r="J1312" i="2"/>
  <c r="J1308" i="2"/>
  <c r="J1307" i="2"/>
  <c r="J1306" i="2"/>
  <c r="J1305" i="2"/>
  <c r="J1297" i="2"/>
  <c r="M1297" i="2" s="1"/>
  <c r="J1295" i="2"/>
  <c r="M1295" i="2" s="1"/>
  <c r="J1293" i="2"/>
  <c r="M1293" i="2" s="1"/>
  <c r="J1291" i="2"/>
  <c r="M1291" i="2" s="1"/>
  <c r="J1290" i="2"/>
  <c r="M1290" i="2" s="1"/>
  <c r="J1288" i="2"/>
  <c r="M1288" i="2" s="1"/>
  <c r="J890" i="2"/>
  <c r="M890" i="2" s="1"/>
  <c r="M886" i="2"/>
  <c r="M885" i="2" s="1"/>
  <c r="M883" i="2"/>
  <c r="M882" i="2" s="1"/>
  <c r="M875" i="2"/>
  <c r="M874" i="2" s="1"/>
  <c r="M879" i="2"/>
  <c r="M878" i="2" s="1"/>
  <c r="M870" i="2"/>
  <c r="M869" i="2" s="1"/>
  <c r="M867" i="2"/>
  <c r="M866" i="2" s="1"/>
  <c r="M864" i="2"/>
  <c r="M859" i="2"/>
  <c r="M858" i="2" s="1"/>
  <c r="M857" i="2" s="1"/>
  <c r="M854" i="2"/>
  <c r="M853" i="2" s="1"/>
  <c r="M850" i="2"/>
  <c r="M849" i="2" s="1"/>
  <c r="M847" i="2"/>
  <c r="M846" i="2" s="1"/>
  <c r="M841" i="2"/>
  <c r="M840" i="2" s="1"/>
  <c r="M838" i="2"/>
  <c r="M837" i="2"/>
  <c r="M836" i="2"/>
  <c r="M835" i="2"/>
  <c r="M830" i="2"/>
  <c r="M829" i="2" s="1"/>
  <c r="M828" i="2" s="1"/>
  <c r="M825" i="2"/>
  <c r="M824" i="2" s="1"/>
  <c r="M822" i="2"/>
  <c r="M821" i="2"/>
  <c r="M820" i="2"/>
  <c r="M819" i="2"/>
  <c r="M814" i="2"/>
  <c r="M813" i="2" s="1"/>
  <c r="M810" i="2"/>
  <c r="M809" i="2" s="1"/>
  <c r="M805" i="2"/>
  <c r="M804" i="2"/>
  <c r="M801" i="2"/>
  <c r="M800" i="2"/>
  <c r="M799" i="2"/>
  <c r="M798" i="2"/>
  <c r="M792" i="2"/>
  <c r="M791" i="2" s="1"/>
  <c r="M790" i="2" s="1"/>
  <c r="M773" i="2"/>
  <c r="M772" i="2"/>
  <c r="M769" i="2"/>
  <c r="M768" i="2" s="1"/>
  <c r="M766" i="2"/>
  <c r="M765" i="2" s="1"/>
  <c r="D37" i="6" l="1"/>
  <c r="E37" i="6" s="1"/>
  <c r="F37" i="6" s="1"/>
  <c r="I37" i="6" s="1"/>
  <c r="K34" i="6"/>
  <c r="M1417" i="2"/>
  <c r="M1401" i="2"/>
  <c r="M1428" i="2"/>
  <c r="M746" i="2"/>
  <c r="M726" i="2"/>
  <c r="M1406" i="2"/>
  <c r="M712" i="2"/>
  <c r="M692" i="2"/>
  <c r="M670" i="2"/>
  <c r="M1332" i="2"/>
  <c r="M1380" i="2"/>
  <c r="M1433" i="2"/>
  <c r="M635" i="2"/>
  <c r="M1441" i="2"/>
  <c r="M1389" i="2"/>
  <c r="M1413" i="2"/>
  <c r="M1423" i="2"/>
  <c r="M1480" i="2"/>
  <c r="M1479" i="2" s="1"/>
  <c r="M1375" i="2"/>
  <c r="M1394" i="2"/>
  <c r="M1319" i="2"/>
  <c r="M1303" i="2"/>
  <c r="M1310" i="2"/>
  <c r="M1287" i="2"/>
  <c r="M771" i="2"/>
  <c r="M764" i="2" s="1"/>
  <c r="M797" i="2"/>
  <c r="M834" i="2"/>
  <c r="M833" i="2" s="1"/>
  <c r="M845" i="2"/>
  <c r="M863" i="2"/>
  <c r="M803" i="2"/>
  <c r="M818" i="2"/>
  <c r="M817" i="2" s="1"/>
  <c r="M577" i="2"/>
  <c r="M576" i="2" s="1"/>
  <c r="M573" i="2"/>
  <c r="M572" i="2" s="1"/>
  <c r="J534" i="2"/>
  <c r="M534" i="2" s="1"/>
  <c r="M531" i="2" s="1"/>
  <c r="M355" i="2"/>
  <c r="M354" i="2"/>
  <c r="J350" i="2"/>
  <c r="M350" i="2" s="1"/>
  <c r="M345" i="2"/>
  <c r="M344" i="2" s="1"/>
  <c r="M279" i="2"/>
  <c r="M276" i="2"/>
  <c r="M273" i="2"/>
  <c r="M259" i="2"/>
  <c r="M243" i="2"/>
  <c r="M242" i="2" s="1"/>
  <c r="M239" i="2"/>
  <c r="M238" i="2" s="1"/>
  <c r="M216" i="2"/>
  <c r="M215" i="2"/>
  <c r="M214" i="2"/>
  <c r="M210" i="2"/>
  <c r="M209" i="2" s="1"/>
  <c r="M207" i="2"/>
  <c r="M206" i="2"/>
  <c r="M203" i="2"/>
  <c r="M200" i="2"/>
  <c r="M199" i="2"/>
  <c r="M196" i="2"/>
  <c r="M195" i="2"/>
  <c r="M1400" i="2" l="1"/>
  <c r="M691" i="2"/>
  <c r="M725" i="2"/>
  <c r="M1371" i="2"/>
  <c r="M1302" i="2"/>
  <c r="M1385" i="2"/>
  <c r="M1422" i="2"/>
  <c r="M1412" i="2"/>
  <c r="M796" i="2"/>
  <c r="M353" i="2"/>
  <c r="M352" i="2" s="1"/>
  <c r="M193" i="2"/>
  <c r="M212" i="2"/>
  <c r="M617" i="2" l="1"/>
  <c r="M616" i="2"/>
  <c r="M615" i="2"/>
  <c r="M33" i="2"/>
  <c r="M30" i="2"/>
  <c r="M29" i="2"/>
  <c r="M26" i="2"/>
  <c r="J18" i="2"/>
  <c r="M613" i="2" l="1"/>
  <c r="M24" i="2"/>
  <c r="M596" i="2"/>
  <c r="J349" i="2"/>
  <c r="M349" i="2" s="1"/>
  <c r="J348" i="2"/>
  <c r="M348" i="2" s="1"/>
  <c r="M347" i="2" l="1"/>
  <c r="J1271" i="2"/>
  <c r="J1267" i="2"/>
  <c r="K1261" i="2"/>
  <c r="J1258" i="2"/>
  <c r="J1259" i="2"/>
  <c r="J1257" i="2"/>
  <c r="K1253" i="2"/>
  <c r="J1249" i="2"/>
  <c r="M1251" i="2"/>
  <c r="K1246" i="2"/>
  <c r="J1242" i="2"/>
  <c r="M1244" i="2" s="1"/>
  <c r="K1239" i="2"/>
  <c r="J1235" i="2"/>
  <c r="M1237" i="2" s="1"/>
  <c r="K1232" i="2"/>
  <c r="J1229" i="2"/>
  <c r="J1230" i="2"/>
  <c r="J1228" i="2"/>
  <c r="K1225" i="2"/>
  <c r="J1221" i="2"/>
  <c r="M1223" i="2" s="1"/>
  <c r="J1275" i="2" l="1"/>
  <c r="M1259" i="2"/>
  <c r="M1271" i="2"/>
  <c r="M1230" i="2"/>
  <c r="P372" i="2"/>
  <c r="J1215" i="2"/>
  <c r="J1214" i="2"/>
  <c r="J1190" i="2"/>
  <c r="M1196" i="2"/>
  <c r="J1186" i="2"/>
  <c r="J1187" i="2"/>
  <c r="J1185" i="2"/>
  <c r="J1181" i="2"/>
  <c r="J1182" i="2"/>
  <c r="J1180" i="2"/>
  <c r="J1175" i="2"/>
  <c r="J1176" i="2"/>
  <c r="J1177" i="2"/>
  <c r="J1174" i="2"/>
  <c r="J1171" i="2"/>
  <c r="J1169" i="2"/>
  <c r="J1166" i="2"/>
  <c r="J1165" i="2"/>
  <c r="J1164" i="2"/>
  <c r="J1159" i="2"/>
  <c r="J1160" i="2"/>
  <c r="J1161" i="2"/>
  <c r="J1158" i="2"/>
  <c r="J1155" i="2"/>
  <c r="J1154" i="2"/>
  <c r="J1153" i="2"/>
  <c r="J1144" i="2"/>
  <c r="J1143" i="2"/>
  <c r="J1142" i="2"/>
  <c r="J1139" i="2"/>
  <c r="J1138" i="2"/>
  <c r="J1137" i="2"/>
  <c r="J1124" i="2"/>
  <c r="J1134" i="2"/>
  <c r="J1133" i="2"/>
  <c r="J1130" i="2"/>
  <c r="J1129" i="2"/>
  <c r="J1126" i="2"/>
  <c r="M1126" i="2" s="1"/>
  <c r="J1123" i="2"/>
  <c r="J1119" i="2"/>
  <c r="J1118" i="2"/>
  <c r="J1117" i="2"/>
  <c r="M1182" i="2" l="1"/>
  <c r="M1171" i="2"/>
  <c r="M1218" i="2"/>
  <c r="M1130" i="2"/>
  <c r="M1187" i="2"/>
  <c r="M1177" i="2"/>
  <c r="K1214" i="2"/>
  <c r="M1155" i="2"/>
  <c r="M1134" i="2"/>
  <c r="M1166" i="2"/>
  <c r="J1276" i="2"/>
  <c r="M1124" i="2"/>
  <c r="M1144" i="2"/>
  <c r="M1139" i="2"/>
  <c r="M1161" i="2"/>
  <c r="M1120" i="2"/>
  <c r="J1100" i="2"/>
  <c r="M1100" i="2" s="1"/>
  <c r="J1096" i="2"/>
  <c r="J1094" i="2"/>
  <c r="J1088" i="2"/>
  <c r="M1091" i="2" s="1"/>
  <c r="J1082" i="2"/>
  <c r="M1085" i="2" s="1"/>
  <c r="J1076" i="2"/>
  <c r="M1078" i="2" s="1"/>
  <c r="J1072" i="2"/>
  <c r="M1073" i="2" s="1"/>
  <c r="J1063" i="2"/>
  <c r="M1064" i="2" s="1"/>
  <c r="J1057" i="2"/>
  <c r="J1056" i="2"/>
  <c r="J1050" i="2"/>
  <c r="M1051" i="2" s="1"/>
  <c r="M1044" i="2" l="1"/>
  <c r="M1059" i="2"/>
  <c r="M1049" i="2" s="1"/>
  <c r="K1068" i="2" s="1"/>
  <c r="M1150" i="2"/>
  <c r="J1206" i="2" s="1"/>
  <c r="J1207" i="2" s="1"/>
  <c r="M1097" i="2"/>
  <c r="M1070" i="2" s="1"/>
  <c r="M1116" i="2"/>
  <c r="K1148" i="2" l="1"/>
  <c r="K1147" i="2"/>
  <c r="M655" i="2"/>
  <c r="M656" i="2"/>
  <c r="M657" i="2"/>
  <c r="M660" i="2"/>
  <c r="M654" i="2"/>
  <c r="M651" i="2"/>
  <c r="J506" i="2"/>
  <c r="M506" i="2" s="1"/>
  <c r="J512" i="2"/>
  <c r="M512" i="2" s="1"/>
  <c r="J520" i="2"/>
  <c r="M520" i="2" s="1"/>
  <c r="J527" i="2"/>
  <c r="M527" i="2" s="1"/>
  <c r="J525" i="2"/>
  <c r="M525" i="2" s="1"/>
  <c r="J523" i="2"/>
  <c r="M523" i="2" s="1"/>
  <c r="J522" i="2"/>
  <c r="M522" i="2" s="1"/>
  <c r="J519" i="2"/>
  <c r="M519" i="2" s="1"/>
  <c r="J516" i="2"/>
  <c r="M516" i="2" s="1"/>
  <c r="J511" i="2"/>
  <c r="M511" i="2" s="1"/>
  <c r="J508" i="2"/>
  <c r="M508" i="2" s="1"/>
  <c r="J504" i="2"/>
  <c r="M504" i="2" s="1"/>
  <c r="J502" i="2"/>
  <c r="M502" i="2" s="1"/>
  <c r="J495" i="2"/>
  <c r="M495" i="2" s="1"/>
  <c r="J492" i="2"/>
  <c r="M492" i="2" s="1"/>
  <c r="J477" i="2"/>
  <c r="M477" i="2" s="1"/>
  <c r="J476" i="2"/>
  <c r="M476" i="2" s="1"/>
  <c r="J498" i="2"/>
  <c r="M498" i="2" s="1"/>
  <c r="J489" i="2"/>
  <c r="M489" i="2" s="1"/>
  <c r="J487" i="2"/>
  <c r="M487" i="2" s="1"/>
  <c r="J484" i="2"/>
  <c r="M484" i="2" s="1"/>
  <c r="J483" i="2"/>
  <c r="M483" i="2" s="1"/>
  <c r="J482" i="2"/>
  <c r="M482" i="2" s="1"/>
  <c r="J479" i="2"/>
  <c r="M479" i="2" s="1"/>
  <c r="J471" i="2"/>
  <c r="M471" i="2" s="1"/>
  <c r="J472" i="2"/>
  <c r="M472" i="2" s="1"/>
  <c r="J475" i="2"/>
  <c r="M475" i="2" s="1"/>
  <c r="J462" i="2"/>
  <c r="M462" i="2" s="1"/>
  <c r="J465" i="2"/>
  <c r="M465" i="2" s="1"/>
  <c r="J468" i="2"/>
  <c r="M468" i="2" s="1"/>
  <c r="J461" i="2"/>
  <c r="M461" i="2" s="1"/>
  <c r="J457" i="2"/>
  <c r="M457" i="2" s="1"/>
  <c r="J458" i="2"/>
  <c r="M458" i="2" s="1"/>
  <c r="J456" i="2"/>
  <c r="M456" i="2" s="1"/>
  <c r="J453" i="2"/>
  <c r="M453" i="2" s="1"/>
  <c r="J450" i="2"/>
  <c r="M450" i="2" s="1"/>
  <c r="J447" i="2"/>
  <c r="M447" i="2" s="1"/>
  <c r="J446" i="2"/>
  <c r="M446" i="2" s="1"/>
  <c r="J443" i="2"/>
  <c r="M443" i="2" s="1"/>
  <c r="J442" i="2"/>
  <c r="M442" i="2" s="1"/>
  <c r="J439" i="2"/>
  <c r="M439" i="2" s="1"/>
  <c r="J438" i="2"/>
  <c r="M438" i="2" s="1"/>
  <c r="J434" i="2"/>
  <c r="M434" i="2" s="1"/>
  <c r="J362" i="2"/>
  <c r="M362" i="2" s="1"/>
  <c r="M315" i="2"/>
  <c r="J334" i="2"/>
  <c r="M334" i="2" s="1"/>
  <c r="J329" i="2"/>
  <c r="M329" i="2" s="1"/>
  <c r="J328" i="2"/>
  <c r="M328" i="2" s="1"/>
  <c r="J336" i="2"/>
  <c r="M336" i="2" s="1"/>
  <c r="J337" i="2"/>
  <c r="M337" i="2" s="1"/>
  <c r="J338" i="2"/>
  <c r="M338" i="2" s="1"/>
  <c r="J339" i="2"/>
  <c r="M339" i="2" s="1"/>
  <c r="J340" i="2"/>
  <c r="M340" i="2" s="1"/>
  <c r="J341" i="2"/>
  <c r="M341" i="2" s="1"/>
  <c r="J335" i="2"/>
  <c r="M335" i="2" s="1"/>
  <c r="J333" i="2"/>
  <c r="M333" i="2" s="1"/>
  <c r="J330" i="2"/>
  <c r="M330" i="2" s="1"/>
  <c r="J327" i="2"/>
  <c r="M327" i="2" s="1"/>
  <c r="J324" i="2"/>
  <c r="M324" i="2" s="1"/>
  <c r="J323" i="2"/>
  <c r="M323" i="2" s="1"/>
  <c r="J322" i="2"/>
  <c r="M322" i="2" s="1"/>
  <c r="J321" i="2"/>
  <c r="M321" i="2" s="1"/>
  <c r="J320" i="2"/>
  <c r="M320" i="2" s="1"/>
  <c r="J319" i="2"/>
  <c r="M319" i="2" s="1"/>
  <c r="J318" i="2"/>
  <c r="M318" i="2" s="1"/>
  <c r="M167" i="2"/>
  <c r="M169" i="2"/>
  <c r="M171" i="2"/>
  <c r="M175" i="2"/>
  <c r="M177" i="2"/>
  <c r="M180" i="2"/>
  <c r="M888" i="2"/>
  <c r="M500" i="2" l="1"/>
  <c r="M649" i="2"/>
  <c r="M312" i="2"/>
  <c r="M668" i="2"/>
  <c r="M666" i="2" s="1"/>
  <c r="M663" i="2"/>
  <c r="M662" i="2" s="1"/>
  <c r="M610" i="2"/>
  <c r="M607" i="2"/>
  <c r="M606" i="2"/>
  <c r="M593" i="2"/>
  <c r="M592" i="2"/>
  <c r="M591" i="2"/>
  <c r="M588" i="2"/>
  <c r="M587" i="2"/>
  <c r="M582" i="2"/>
  <c r="M583" i="2"/>
  <c r="M584" i="2"/>
  <c r="M580" i="2" l="1"/>
  <c r="M604" i="2"/>
  <c r="M435" i="2"/>
  <c r="M431" i="2" s="1"/>
  <c r="M1280" i="2" s="1"/>
  <c r="M424" i="2"/>
  <c r="M413" i="2"/>
  <c r="M408" i="2"/>
  <c r="M405" i="2"/>
  <c r="M399" i="2"/>
  <c r="M395" i="2"/>
  <c r="M392" i="2"/>
  <c r="M389" i="2"/>
  <c r="M380" i="2"/>
  <c r="M377" i="2"/>
  <c r="M367" i="2"/>
  <c r="M421" i="2"/>
  <c r="M418" i="2"/>
  <c r="M415" i="2"/>
  <c r="M410" i="2"/>
  <c r="M409" i="2"/>
  <c r="M403" i="2"/>
  <c r="M402" i="2"/>
  <c r="M398" i="2"/>
  <c r="M388" i="2"/>
  <c r="M385" i="2"/>
  <c r="M384" i="2"/>
  <c r="M383" i="2"/>
  <c r="M82" i="2"/>
  <c r="M374" i="2"/>
  <c r="M373" i="2"/>
  <c r="M371" i="2"/>
  <c r="M370" i="2"/>
  <c r="M366" i="2"/>
  <c r="M363" i="2"/>
  <c r="M1284" i="2" l="1"/>
  <c r="M1283" i="2" s="1"/>
  <c r="M1279" i="2"/>
  <c r="M1045" i="2"/>
  <c r="M1043" i="2" s="1"/>
  <c r="M359" i="2"/>
  <c r="J428" i="2" s="1"/>
  <c r="M428" i="2" s="1"/>
  <c r="M427" i="2" s="1"/>
  <c r="M306" i="2"/>
  <c r="M304" i="2" s="1"/>
  <c r="M286" i="2"/>
  <c r="M285" i="2" s="1"/>
  <c r="M283" i="2"/>
  <c r="M282" i="2" s="1"/>
  <c r="M270" i="2"/>
  <c r="M269" i="2" s="1"/>
  <c r="M266" i="2"/>
  <c r="M265" i="2" s="1"/>
  <c r="M263" i="2"/>
  <c r="M262" i="2" s="1"/>
  <c r="M256" i="2"/>
  <c r="M255" i="2" s="1"/>
  <c r="M253" i="2"/>
  <c r="M252" i="2" s="1"/>
  <c r="M250" i="2"/>
  <c r="M249" i="2" s="1"/>
  <c r="M247" i="2"/>
  <c r="M246" i="2" s="1"/>
  <c r="M236" i="2"/>
  <c r="M235" i="2" s="1"/>
  <c r="M232" i="2"/>
  <c r="M231" i="2"/>
  <c r="M230" i="2"/>
  <c r="M229" i="2"/>
  <c r="M228" i="2"/>
  <c r="M220" i="2"/>
  <c r="M223" i="2"/>
  <c r="M218" i="2" l="1"/>
  <c r="M227" i="2"/>
  <c r="M225" i="2" s="1"/>
  <c r="M191" i="2"/>
  <c r="M190" i="2"/>
  <c r="M147" i="2"/>
  <c r="M145" i="2"/>
  <c r="M143" i="2"/>
  <c r="M141" i="2"/>
  <c r="M140" i="2"/>
  <c r="M138" i="2"/>
  <c r="M137" i="2"/>
  <c r="M135" i="2"/>
  <c r="M134" i="2"/>
  <c r="M133" i="2"/>
  <c r="M131" i="2"/>
  <c r="M130" i="2"/>
  <c r="M129" i="2"/>
  <c r="M127" i="2"/>
  <c r="M126" i="2"/>
  <c r="M125" i="2"/>
  <c r="M124" i="2"/>
  <c r="M120" i="2"/>
  <c r="M119" i="2"/>
  <c r="M118" i="2"/>
  <c r="M117" i="2"/>
  <c r="M116" i="2"/>
  <c r="M114" i="2"/>
  <c r="M112" i="2"/>
  <c r="M110" i="2"/>
  <c r="M108" i="2"/>
  <c r="M107" i="2"/>
  <c r="M105" i="2"/>
  <c r="M103" i="2"/>
  <c r="M102" i="2"/>
  <c r="M98" i="2"/>
  <c r="M97" i="2"/>
  <c r="M96" i="2"/>
  <c r="M95" i="2"/>
  <c r="M188" i="2" l="1"/>
  <c r="M93" i="2"/>
  <c r="M186" i="2"/>
  <c r="M163" i="2" l="1"/>
  <c r="M162" i="2" s="1"/>
  <c r="M36" i="2"/>
  <c r="M160" i="2"/>
  <c r="M157" i="2"/>
  <c r="M154" i="2"/>
  <c r="M151" i="2"/>
  <c r="M49" i="2"/>
  <c r="M66" i="2"/>
  <c r="M91" i="2"/>
  <c r="M90" i="2" s="1"/>
  <c r="M88" i="2"/>
  <c r="M87" i="2" s="1"/>
  <c r="M74" i="2"/>
  <c r="M73" i="2"/>
  <c r="M71" i="2"/>
  <c r="M70" i="2"/>
  <c r="M149" i="2" l="1"/>
  <c r="M68" i="2"/>
  <c r="M64" i="2"/>
  <c r="M65" i="2"/>
  <c r="M63" i="2"/>
  <c r="M60" i="2"/>
  <c r="M59" i="2"/>
  <c r="M54" i="2"/>
  <c r="M55" i="2"/>
  <c r="M56" i="2"/>
  <c r="M53" i="2"/>
  <c r="M185" i="2"/>
  <c r="M184" i="2"/>
  <c r="M46" i="2"/>
  <c r="M42" i="2"/>
  <c r="M39" i="2"/>
  <c r="M85" i="2"/>
  <c r="M81" i="2"/>
  <c r="M78" i="2"/>
  <c r="M21" i="2"/>
  <c r="M20" i="2" s="1"/>
  <c r="M18" i="2"/>
  <c r="M17" i="2" s="1"/>
  <c r="M76" i="2" l="1"/>
  <c r="M51" i="2"/>
  <c r="M182" i="2"/>
  <c r="M35" i="2"/>
  <c r="M44" i="2"/>
</calcChain>
</file>

<file path=xl/sharedStrings.xml><?xml version="1.0" encoding="utf-8"?>
<sst xmlns="http://schemas.openxmlformats.org/spreadsheetml/2006/main" count="2434" uniqueCount="1177">
  <si>
    <t>ITEM</t>
  </si>
  <si>
    <t>DESCRIÇÃO DOS SERVIÇOS</t>
  </si>
  <si>
    <t>1.0</t>
  </si>
  <si>
    <t>SERVIÇOS PRELIMINARES</t>
  </si>
  <si>
    <t>2.0</t>
  </si>
  <si>
    <t>DEMOLIÇÕES E RETIRADAS</t>
  </si>
  <si>
    <t>3.0</t>
  </si>
  <si>
    <t>TRANSPORTE DE MATERIAIS</t>
  </si>
  <si>
    <t>4.0</t>
  </si>
  <si>
    <t>5.0</t>
  </si>
  <si>
    <t>COBERTURA</t>
  </si>
  <si>
    <t>7.0</t>
  </si>
  <si>
    <t>9.0</t>
  </si>
  <si>
    <t>10.0</t>
  </si>
  <si>
    <t>05.001.0134-0</t>
  </si>
  <si>
    <t>Arrancamento de portas, janelas e caixilhos de ar condicionado ou outros</t>
  </si>
  <si>
    <t>un</t>
  </si>
  <si>
    <t>m²</t>
  </si>
  <si>
    <t>DISCRIMINAÇÃO DOS SERVIÇOS</t>
  </si>
  <si>
    <t xml:space="preserve">UN </t>
  </si>
  <si>
    <t>QUANT. (un)</t>
  </si>
  <si>
    <t>COMP. (m)</t>
  </si>
  <si>
    <t>PERÍM. (m)</t>
  </si>
  <si>
    <t>LARG. (m)</t>
  </si>
  <si>
    <t>ALT. (m)</t>
  </si>
  <si>
    <t>ÁREA (m²)</t>
  </si>
  <si>
    <t>PESO (kg/m²)</t>
  </si>
  <si>
    <t>COEF.</t>
  </si>
  <si>
    <t>TOTAL</t>
  </si>
  <si>
    <t>02.020.0001-0</t>
  </si>
  <si>
    <t>02.002.0005-0</t>
  </si>
  <si>
    <t>05.001.0008-0</t>
  </si>
  <si>
    <t>Demolição de revestimento em argamassa de cimento e areia em parede</t>
  </si>
  <si>
    <t>05.001.0009-0</t>
  </si>
  <si>
    <t>05.001.0014-0</t>
  </si>
  <si>
    <t>05.001.0015-0</t>
  </si>
  <si>
    <t>05.001.0020-0</t>
  </si>
  <si>
    <t>05.001.0023-0</t>
  </si>
  <si>
    <t>m³</t>
  </si>
  <si>
    <t>05.001.0055-0</t>
  </si>
  <si>
    <t>Remoção de forro de estuque, gesso, placas prensadas e semelhantes</t>
  </si>
  <si>
    <t>05.001.0076-0</t>
  </si>
  <si>
    <t>Remoção de divisórias de madeira, pré-moldadas, prensadas ou semelhantes</t>
  </si>
  <si>
    <t>05.001.0078-0</t>
  </si>
  <si>
    <t>Remoção de rodapés de madeira, cerâmica ou semelhante</t>
  </si>
  <si>
    <t>m</t>
  </si>
  <si>
    <t>05.001.0084-0</t>
  </si>
  <si>
    <t>Remoção de piso de mármore ou granito</t>
  </si>
  <si>
    <t>05.001.0145-0</t>
  </si>
  <si>
    <t>Arrancamento de aparelhos sanitários</t>
  </si>
  <si>
    <t>05.001.0146-0</t>
  </si>
  <si>
    <t>Arrancamento de bancada de pia/lavatório ou banca seca de até 1,00m de altura e até 0,80m de largura</t>
  </si>
  <si>
    <t>05.001.0170-0</t>
  </si>
  <si>
    <t>05.001.0300-0</t>
  </si>
  <si>
    <t>Calha fechada, de tábuas de madeira de 3ª, com a seção de 0,45 x 0,45m, para descida de escombros, com colocação</t>
  </si>
  <si>
    <t>05.001.0450-0</t>
  </si>
  <si>
    <t>05.002.0065-0</t>
  </si>
  <si>
    <t>Demolição e remoção de estruturas metálicas treliçadas de vergalhões e/ou perfis leves de aço, medidas pelo peso removido</t>
  </si>
  <si>
    <t>kg</t>
  </si>
  <si>
    <t>ANDAIME</t>
  </si>
  <si>
    <t>05.006.0001-1</t>
  </si>
  <si>
    <t>m² x mês</t>
  </si>
  <si>
    <t>04.020.0122-0</t>
  </si>
  <si>
    <t>m² x km</t>
  </si>
  <si>
    <t>04.021.0010-0</t>
  </si>
  <si>
    <t>05.005.0012-1</t>
  </si>
  <si>
    <t>05.008.0001-0</t>
  </si>
  <si>
    <t>Montagem e desmontagem de andaime com elementos tubulares, considerando-se a área vertical recoberta</t>
  </si>
  <si>
    <t>05.008.0004-0</t>
  </si>
  <si>
    <t>Montagem e desmontagem de balancim (cadeirinha).Custo por balancim</t>
  </si>
  <si>
    <t>05.001.0080-0</t>
  </si>
  <si>
    <t>05.001.0027-0</t>
  </si>
  <si>
    <t>FUNDAÇÃO</t>
  </si>
  <si>
    <t>11.003.0002-0</t>
  </si>
  <si>
    <t>11.013.0003-1</t>
  </si>
  <si>
    <t>Vergas de concreto armado para alvenaria, com aproveitamento da madeira por 10 vezes</t>
  </si>
  <si>
    <t>ESTRUTURA</t>
  </si>
  <si>
    <t>11.013.0070-1</t>
  </si>
  <si>
    <t>6.0</t>
  </si>
  <si>
    <t>11.004.0053-1</t>
  </si>
  <si>
    <t>Escoramento de formas de moldagem de peças de concreto em vigas isoladas e semelhantes, até 5,00m de pé direito, e até 60 cm de altura, com madeira de 3ª, empregado 2 vezes, medida pela área de projeção lateral de escoramento (comprimento da viga vezes altura do escoramento até o fundo da mesma)</t>
  </si>
  <si>
    <t>ALVENARIA E DIVISÓRIA</t>
  </si>
  <si>
    <t>12.002.0080-0</t>
  </si>
  <si>
    <t>Aperto de alvenaria sob vigas ou tetos, executada com tijolos maciços de 7 x 10 x 20cm inclinados, assentes com argamassa de cimento e saibro, traço 1:6, em paredes de uma vez (0,20m)</t>
  </si>
  <si>
    <t>Alvenaria de tijolos cerâmicos furados 10 x 20 x 20cm, assentes com argamassa de cimento e saibro, no traço 1:8, em paredes de uma vez (0,20m), com vãos ou arestas, de 3,00 a 4,50m de altura e medida pela área real</t>
  </si>
  <si>
    <t>12.003.0070-0</t>
  </si>
  <si>
    <t>12.016.0004-0</t>
  </si>
  <si>
    <t>Parede de Drywall com espessura de 73mm, estruturada com montantes simples autoportantes de 48mm, fixados a guias horizontais de 48mm, ambos de aço galvanizado com espessura de 0,5mm, com duas chapas de gesso acartonado tipo ST (standard), espessura de 12,5mm, largura de 1200mm, borda rebaixada, fixada aos montantes por meio de parafusos, com tratamento de juntas com massa e fita para uniformização da superfície das chapas de gesso acartonado. Aplicação em áreas secas. FORNECIMENTO e COLOCAÇÃO</t>
  </si>
  <si>
    <t>13.001.0010-1</t>
  </si>
  <si>
    <t>Chapisco em superfície de concreto ou alvenaria, com argamassa de cimento e areia, no traço 1:3, espessura de 9mm</t>
  </si>
  <si>
    <t>13.001.0041-0</t>
  </si>
  <si>
    <t>13.008.0010-0</t>
  </si>
  <si>
    <t>13.030.0200-0</t>
  </si>
  <si>
    <t>13.180.0015-1</t>
  </si>
  <si>
    <t>Forro falso de gesso, com placas pré-moldadas, de 60 x 60cm, de encaixe, presas com 4 tirantes de arame e rejuntadas. FORNECIMENTO e COLOCAÇÃO</t>
  </si>
  <si>
    <t>13.330.0075-0</t>
  </si>
  <si>
    <t>Revestimento de piso com ladrilho cerâmico, antiderrapante, 40 x 40cm, sujeito a tráfego intenso, resistência a abrasão P.E.I.-IV, assentes em superfície com nata de cimento sobre argamassa de cimento, areia e saibro, no traço 1:3:3, rejuntamento com cimento branco e corante</t>
  </si>
  <si>
    <t>13.330.0100-0</t>
  </si>
  <si>
    <t>Rodapé com ladrilho cerâmico, com 7,5 a 10cm de altura, assentes conforme item 13.025.0016</t>
  </si>
  <si>
    <t>13.348.0050-0</t>
  </si>
  <si>
    <t>Peitoril em granito cinza andorinha, espessura de 2cm, largura 15 a 18cm, assentado com nata de cimento sobre argamassa de cimento, saibro e areia, no traço 1:3:3 e rejuntamento com cimento branco</t>
  </si>
  <si>
    <t>13.348.0070-0</t>
  </si>
  <si>
    <t>Soleira em granito cinza andorinha, espessura de 3cm, com 2 polimentos, largura de 13cm, assentado com argamassa de cimento, saibro e areia, no traço 1:2:2, e rejuntamento com cimento branco e corante</t>
  </si>
  <si>
    <t>ESQUADRIAS</t>
  </si>
  <si>
    <t>14.003.0062-0</t>
  </si>
  <si>
    <t>Janela de alumínio anodizado ao natural, tipo pivotante, com painel pivotante vertical, em perfis série 28. FORNECIMENTO e COLOCAÇÃO. Anodizado em bronze ou preto</t>
  </si>
  <si>
    <t>REVESTIMENTO DE PAREDES, TETOS E PISOS</t>
  </si>
  <si>
    <t>15.004.0175-1</t>
  </si>
  <si>
    <t>Ralo sifonado de PVC (150 x 185) x 75mm rígido em pavimento elevado, com saída de 75mm soldável, grelha redonda e porta-grelha, compreendendo:  3,00m de tubo de PVC de 75mm e sua ligação ao ramal de queda e ventilação.  FORNECIMENTO e INSTALAÇÃO</t>
  </si>
  <si>
    <t>15.004.0180-0</t>
  </si>
  <si>
    <t>Ralo sifonado de PVC rígido (150 x 185) x 75mm, em pavimento térreo, com saída de 75mm, grelha redonda e porta-grelha, compreendendo:  3,00m de tubo de PVC de 75mm e sua ligação ao ramal de ventilação.  FORNECIMENTO e INSTALAÇÃO</t>
  </si>
  <si>
    <t>15.004.0176-0</t>
  </si>
  <si>
    <t>Ralo sifonado de PVC rígido (100 x 100) x 50mm, em pavimento elevado, com tampa cega, com 1 entrada de 40mm e saída de 50mm, compreendendo:  2,00m de tubo de PVC de 50mm soldável, 1,00m de tubo de PVC de 40mm e sua ligação ao ramal de queda e ventilação.  FORNECIMENTO e INSTALAÇÃO</t>
  </si>
  <si>
    <t>8.0</t>
  </si>
  <si>
    <t>INSTALAÇÕES HIDROSSANITÁRIAS</t>
  </si>
  <si>
    <t>15.003.0370-0</t>
  </si>
  <si>
    <t>Fixação através de pino cravado com pistola e fita metálica recartilhada, de tubulações com diâmetros internos variáveis de 1/2” a 4”, compondo-se de fita de 17mm de largura e 0,50m de comprimento e conjunto com cursor e suporte “Y” em caixa de 25 peças (sistema de suspensão leve, carga de ruptura 120kg).  Utilização:  instalações aparentes de água, esgoto e eletricidade</t>
  </si>
  <si>
    <t>15.004.0102-1</t>
  </si>
  <si>
    <t>15.004.0063-0</t>
  </si>
  <si>
    <t>15.004.0060-1</t>
  </si>
  <si>
    <t>15.004.0070-0</t>
  </si>
  <si>
    <t>11.016.0003-0</t>
  </si>
  <si>
    <t>16.020.0001-0</t>
  </si>
  <si>
    <t>PINTURA</t>
  </si>
  <si>
    <t>11.0</t>
  </si>
  <si>
    <t>12.0</t>
  </si>
  <si>
    <t>13.0</t>
  </si>
  <si>
    <t>LOUÇAS E METAIS</t>
  </si>
  <si>
    <t>16.005.0008-0</t>
  </si>
  <si>
    <t>Cumeeira de alumínio, com espessura de 0,8mm, 0,30m de aba para cada lado, para telhas trapezoidais. FORNECIMENTO e COLOCAÇÃO</t>
  </si>
  <si>
    <t>16.011.0030-0</t>
  </si>
  <si>
    <t>16.012.0005-0</t>
  </si>
  <si>
    <t>14.0</t>
  </si>
  <si>
    <t>ELEVADOR</t>
  </si>
  <si>
    <t>17.017.0320-0</t>
  </si>
  <si>
    <t>Pintura interna ou externa sobre ferro, com esmalte sintético brilhante ou acetinado após lixamento, limpeza, desengorduramento, uma demão de fundo anti corrosivo na cor laranja de secagem rápida e duas demãos de acabamento</t>
  </si>
  <si>
    <t>17.018.0010-0</t>
  </si>
  <si>
    <t>17.018.0031-0</t>
  </si>
  <si>
    <t>17.020.0010-0</t>
  </si>
  <si>
    <t>18.002.0014-0</t>
  </si>
  <si>
    <t>18.002.0085-0</t>
  </si>
  <si>
    <t>18.002.0090-0</t>
  </si>
  <si>
    <t>18.003.0003-0</t>
  </si>
  <si>
    <t>Válvula de descarga de 1.1/2”, registro integrado, sistema hidromecânico (isenta de golpe de aríete), corpo em latão, canopla e botão em metal cromado, de embutir. FORNECIMENTO</t>
  </si>
  <si>
    <t>18.009.0058-0</t>
  </si>
  <si>
    <t>Torneira para pia ou tanque, 1158 de 1/2” x 18cm aproximadamente, em metal cromado. FORNECIMENTO</t>
  </si>
  <si>
    <t>18.016.0105-0</t>
  </si>
  <si>
    <t>Barra de apoio, para pessoas com necessidades específicas, em tubo de 1.1/4” de aço inoxidável, AISI-304, liga 18.8, com 50cm. FORNECIMENTO e COLOCAÇÃO</t>
  </si>
  <si>
    <t>18.016.0106-0</t>
  </si>
  <si>
    <t>18.040.0010-0</t>
  </si>
  <si>
    <t>Subsolo</t>
  </si>
  <si>
    <t>Térreo</t>
  </si>
  <si>
    <t>1º Pavimento</t>
  </si>
  <si>
    <t xml:space="preserve">1,35 + 3,00 + 2,00 + 2,00 + 0,50 + 9,00 + 2,00 = 19,85 </t>
  </si>
  <si>
    <t xml:space="preserve"> </t>
  </si>
  <si>
    <t>(2,20 + 1,30) x 2,00 + (1,35 x 3,00) + (1,20 x 2,00) = 13,45</t>
  </si>
  <si>
    <t>Térreo (Retirado de Projeto)</t>
  </si>
  <si>
    <t xml:space="preserve"> 1º Pavimento (Retirado de Projeto)</t>
  </si>
  <si>
    <t>Sala 05</t>
  </si>
  <si>
    <t>Sala 04</t>
  </si>
  <si>
    <t>Hall</t>
  </si>
  <si>
    <t>4 Banheiros</t>
  </si>
  <si>
    <t>1,30 + 1,65 + 1,65 + 0,50 + 1,50 + 2,80 + 0,30  = 9,70</t>
  </si>
  <si>
    <t>Mezanino 01</t>
  </si>
  <si>
    <t>Mezanino 02</t>
  </si>
  <si>
    <t>Copa</t>
  </si>
  <si>
    <t>Sala 11</t>
  </si>
  <si>
    <t>Banheiro/DML</t>
  </si>
  <si>
    <t>Mezanino (Retirado de Projeto)</t>
  </si>
  <si>
    <t>Canteiro</t>
  </si>
  <si>
    <t>Banheiros</t>
  </si>
  <si>
    <t>Cozinha</t>
  </si>
  <si>
    <t>05.001.0147-0</t>
  </si>
  <si>
    <t>Arrancamento de grades, gradis, alambrados, cercas e portões</t>
  </si>
  <si>
    <t>Cobertura</t>
  </si>
  <si>
    <t>Sanitários Masculino/Feminino</t>
  </si>
  <si>
    <t>1,20 + 1,30 + 1,20 + 1,90 x 2,00 + 1,80 + (1,80 + 2,30) x 2 x 2 = 25,70</t>
  </si>
  <si>
    <t xml:space="preserve">2,50 + 2 x 1,50 + 2,68 + 2,70 + 2,94 + 0,70 + 2,28 = 16,80 m </t>
  </si>
  <si>
    <t>(Painel de vidro)</t>
  </si>
  <si>
    <t>Mezanino</t>
  </si>
  <si>
    <t>(Acrílico)</t>
  </si>
  <si>
    <t>1,30 + 1,80 + 0,30 + 0,85 = 4,25</t>
  </si>
  <si>
    <t>4,32 + 3,35 + 1,21 + 6,80 + 2,54 + 2,80 + 2,80 + 0,85 = 24,67</t>
  </si>
  <si>
    <t>5,50 + 2,10 + 0,50 + 1,50 + 2,60 + 0,40 + 3,50 + = 16,10m</t>
  </si>
  <si>
    <t>4,80 + 3,50 + 3,50 + 0,50 + 4,30 + 0,50 = 17,10m</t>
  </si>
  <si>
    <t>2,20 + 1,60 + 1,60 = 5,40m</t>
  </si>
  <si>
    <t>(5,55 + 2,50) x 2 = 16,10m</t>
  </si>
  <si>
    <t>(5,01 + 2,50) x 2 = 15,02m</t>
  </si>
  <si>
    <t>Subsolo (Checagem de esgoto no banheiro)</t>
  </si>
  <si>
    <t>Janelas</t>
  </si>
  <si>
    <t>Portas</t>
  </si>
  <si>
    <t>2 x 1,20 + 2,14 = 4,54m</t>
  </si>
  <si>
    <t>Remoção de louças, de forma manual, sem reaproveitamento. af_12/2017</t>
  </si>
  <si>
    <t>(2,20 + 1,30) x 2,00 + (1,35 x 4,00) + (1,20 x 4,00) = 17,20m</t>
  </si>
  <si>
    <t>(1,20 + 1,00 + 1,00) + ((2,80 + 1,80) x 4) + (1,80 x 3) = 27,00m</t>
  </si>
  <si>
    <t>Sala 01 (Retirado do Projeto)</t>
  </si>
  <si>
    <t>Sala 02 (Retirado do Projeto)</t>
  </si>
  <si>
    <t>Sala 03 (Retirado do Projeto)</t>
  </si>
  <si>
    <t>Circulação (Retirado do Projeto)</t>
  </si>
  <si>
    <t>Fechamento Lateral (Mezanino 01)</t>
  </si>
  <si>
    <t xml:space="preserve">Perímetro = 5,01 + 2,70 + 2,70 = 10,41 m </t>
  </si>
  <si>
    <t>Fechamento Lateral (Mezanino 02)</t>
  </si>
  <si>
    <t xml:space="preserve">Perímetro = 3,30 + 0,60 + 2,70 + 2,04 = 8,64 m </t>
  </si>
  <si>
    <t>Mezanino 03</t>
  </si>
  <si>
    <t>Fechamento Lateral (Mezanino 03)</t>
  </si>
  <si>
    <t xml:space="preserve">Perímetro = 13,19 + 13,19 = 26,38 m </t>
  </si>
  <si>
    <t>Circulação de Entrada</t>
  </si>
  <si>
    <t>(b x h) / 2 = (0,60 x 0,60) / 2 = 0,18 m²</t>
  </si>
  <si>
    <t>((B + b) / 2) x h = ((1,75 + 2,00) / 2) x 4,20 = 7,88 m²</t>
  </si>
  <si>
    <t>Auditório</t>
  </si>
  <si>
    <t>Fechamento Lateral (Auditório)</t>
  </si>
  <si>
    <t xml:space="preserve">Perímetro = 1,00 + 8,65 + 7,95 + 0,99 + 1,00 = 19,59 m </t>
  </si>
  <si>
    <t>Banheiro Feminino</t>
  </si>
  <si>
    <t>Banheiro Masculino</t>
  </si>
  <si>
    <t>Prisma</t>
  </si>
  <si>
    <t>Fechamento Lateral (Prisma)</t>
  </si>
  <si>
    <t xml:space="preserve">Perímetro = 4,92 + 9,06 + 9,06 = 23,04 m </t>
  </si>
  <si>
    <t>Salão (Retirado do Projeto)</t>
  </si>
  <si>
    <t>Sala 13</t>
  </si>
  <si>
    <t>((B + b) / 2) x h = ((2,90 + 2,40) / 2) x 0,60 = 1,59 m²</t>
  </si>
  <si>
    <t>((B + b) / 2) x h = ((4,55 + 3,60) / 2) x 0,60 = 2,44 m²</t>
  </si>
  <si>
    <t>Sala 12 e 11</t>
  </si>
  <si>
    <t>((B + b) / 2) x h = ((4,80 + 4,05) / 2) x 0,60 = 2,66 m²</t>
  </si>
  <si>
    <t>Sala 10</t>
  </si>
  <si>
    <t>((B + b) / 2) x h = ((4,13 + 3,80) / 2) x 0,60 = 2,38 m²</t>
  </si>
  <si>
    <t>Fechamento Lateral (Salas 13, 12, 11 e 10)</t>
  </si>
  <si>
    <t xml:space="preserve">Perímetro = 2,90 + 4,55 + 4,80 + 4,13 = 16,38 m </t>
  </si>
  <si>
    <t>Perímetro = 8,65 + 0,40 + 2,85 + 4,00 + 0,60 + 12,60 + 2,45 + 0,40 + 1,30 + 2,25 + 1,00 = 36,50 m</t>
  </si>
  <si>
    <t>Área do piso (Retirado do Projeto)</t>
  </si>
  <si>
    <t>Fechamento de carpete do palco</t>
  </si>
  <si>
    <t xml:space="preserve">1,80 + 2 x 1,20 = 4,20m </t>
  </si>
  <si>
    <t>Fachada</t>
  </si>
  <si>
    <t>3,05 + 4,23 = 7,28m</t>
  </si>
  <si>
    <t>(4,23 x 2,00) / 2,00 = 4,23m²</t>
  </si>
  <si>
    <t>4,30 + 5,60 + 5,00 = 14,90m</t>
  </si>
  <si>
    <t>Porta Pantográfica</t>
  </si>
  <si>
    <t>05.007.0015-0</t>
  </si>
  <si>
    <t>Aluguel de balancim individual (cadeirinha), inclusive kit de segurança completo, exclusive montagem e desmontagem (vide item 05.008.0004)</t>
  </si>
  <si>
    <t>un x mês</t>
  </si>
  <si>
    <t>1 unidade x 2 meses</t>
  </si>
  <si>
    <t>Fio de aço CA-60, redondo, com saliência ou mossa, coeficiente de conformação superficial mínimo (aderência) igual a 1,5, diâmetro entre 4,2 a 5mm, destinado à armadura de peças de concreto armado, 10% de perdas de pontas e arame 18. FORNECIMENTO</t>
  </si>
  <si>
    <t>11.009.0011-0</t>
  </si>
  <si>
    <t>Corte, dobragem, montagem e colocação de ferragens nas formas, aço CA-60, em fio redondo com diâmetro de 4,2 a 5mm</t>
  </si>
  <si>
    <t>11.011.0027-0</t>
  </si>
  <si>
    <t>Radier (Rampa de Acessibilidade)</t>
  </si>
  <si>
    <t>(((B + b) x h) / 2) - Área do Elevador = (((4,60 + 2,20) x 2,70) / 2) - 3,35 = 5,83 m²</t>
  </si>
  <si>
    <t>Laje 1º Pavimento (Área do Elevador)</t>
  </si>
  <si>
    <t>15.0</t>
  </si>
  <si>
    <t>Fechamento de Porta - Sanitário 01</t>
  </si>
  <si>
    <t>Fechamento da janela - Sala 05</t>
  </si>
  <si>
    <t>Fechamento de Porta - Entrada Sala 05 e 04</t>
  </si>
  <si>
    <t>Fechamento da janela - Sala 04</t>
  </si>
  <si>
    <t>Sala 02</t>
  </si>
  <si>
    <t>2,18 + 1,74 + 1,27 + 0,43 + 0,43 + 0,62 = 6,67m</t>
  </si>
  <si>
    <t>Fechamento da janela - Mezanino 02</t>
  </si>
  <si>
    <t>Fechamento da janela - Mezanino 01</t>
  </si>
  <si>
    <t>Fechamento da janela - Mezanino 03</t>
  </si>
  <si>
    <t>Fechamento da janela - Sala 13</t>
  </si>
  <si>
    <t>Fechamento da janela - Sala 12</t>
  </si>
  <si>
    <t>Fechamento da janela - Cozinha</t>
  </si>
  <si>
    <t>Fechamento de Porta - DML</t>
  </si>
  <si>
    <t>Fechamento de Porta - Cozinha</t>
  </si>
  <si>
    <t>Fechamento da janela - Sala 10</t>
  </si>
  <si>
    <t>Hall do elevador</t>
  </si>
  <si>
    <t>Fechamento de janela - Auditório</t>
  </si>
  <si>
    <r>
      <t xml:space="preserve">Placa de identificação de obra pública, </t>
    </r>
    <r>
      <rPr>
        <b/>
        <sz val="9"/>
        <color rgb="FF000000"/>
        <rFont val="Arial"/>
        <family val="2"/>
      </rPr>
      <t>inclusive</t>
    </r>
    <r>
      <rPr>
        <sz val="9"/>
        <color rgb="FF000000"/>
        <rFont val="Arial"/>
        <family val="2"/>
      </rPr>
      <t xml:space="preserve"> pintura e suportes de madeira. FORNECIMENTO e COLOCAÇÃO</t>
    </r>
  </si>
  <si>
    <r>
      <t xml:space="preserve">Tapume de vedação ou proteção executado com telhas trapezoidais de aço galvanizado, espessura de 0,5mm, estas com 4 vezes de utilização, </t>
    </r>
    <r>
      <rPr>
        <b/>
        <sz val="9"/>
        <color rgb="FF000000"/>
        <rFont val="Arial"/>
        <family val="2"/>
      </rPr>
      <t>inclusive</t>
    </r>
    <r>
      <rPr>
        <sz val="9"/>
        <color rgb="FF000000"/>
        <rFont val="Arial"/>
        <family val="2"/>
      </rPr>
      <t xml:space="preserve"> engradamento de madeira, utilizado 2 vezes e pintura esmalte sintético na face externa. </t>
    </r>
  </si>
  <si>
    <r>
      <t xml:space="preserve">Demolição de revestimento em azulejos, cerâmicas ou mármore em parede, </t>
    </r>
    <r>
      <rPr>
        <b/>
        <sz val="9"/>
        <color rgb="FF000000"/>
        <rFont val="Arial"/>
        <family val="2"/>
      </rPr>
      <t>exclusive</t>
    </r>
    <r>
      <rPr>
        <sz val="9"/>
        <color rgb="FF000000"/>
        <rFont val="Arial"/>
        <family val="2"/>
      </rPr>
      <t xml:space="preserve"> a camada de assentamento</t>
    </r>
  </si>
  <si>
    <r>
      <t xml:space="preserve">Demolição de argamassa de assentamento de azulejo, cerâmica ou mármore em parede, </t>
    </r>
    <r>
      <rPr>
        <b/>
        <sz val="9"/>
        <color rgb="FF000000"/>
        <rFont val="Arial"/>
        <family val="2"/>
      </rPr>
      <t>inclusive</t>
    </r>
    <r>
      <rPr>
        <sz val="9"/>
        <color rgb="FF000000"/>
        <rFont val="Arial"/>
        <family val="2"/>
      </rPr>
      <t xml:space="preserve"> afastamento lateral dentro do canteiro de serviço</t>
    </r>
  </si>
  <si>
    <r>
      <t xml:space="preserve">Demolição de piso de ladrilho com respectiva camada de argamassa de assentamento, </t>
    </r>
    <r>
      <rPr>
        <b/>
        <sz val="9"/>
        <color rgb="FF000000"/>
        <rFont val="Arial"/>
        <family val="2"/>
      </rPr>
      <t>inclusive</t>
    </r>
    <r>
      <rPr>
        <sz val="9"/>
        <color rgb="FF000000"/>
        <rFont val="Arial"/>
        <family val="2"/>
      </rPr>
      <t xml:space="preserve"> afastamento lateral dentro do canteiro de serviço</t>
    </r>
  </si>
  <si>
    <r>
      <t xml:space="preserve">Demolição de pisos de mármore, soleiras, peitoris e escadas com respectiva camada de argamassa de assentamento, </t>
    </r>
    <r>
      <rPr>
        <b/>
        <sz val="9"/>
        <color rgb="FF000000"/>
        <rFont val="Arial"/>
        <family val="2"/>
      </rPr>
      <t>inclusive</t>
    </r>
    <r>
      <rPr>
        <sz val="9"/>
        <color rgb="FF000000"/>
        <rFont val="Arial"/>
        <family val="2"/>
      </rPr>
      <t xml:space="preserve"> afastamento lateral dentro do canteiro de serviço</t>
    </r>
  </si>
  <si>
    <r>
      <t xml:space="preserve">Demolição manual de alvenaria de tijolos furados, </t>
    </r>
    <r>
      <rPr>
        <b/>
        <sz val="9"/>
        <color rgb="FF000000"/>
        <rFont val="Arial"/>
        <family val="2"/>
      </rPr>
      <t>inclusive</t>
    </r>
    <r>
      <rPr>
        <sz val="9"/>
        <color rgb="FF000000"/>
        <rFont val="Arial"/>
        <family val="2"/>
      </rPr>
      <t xml:space="preserve"> empilhamento dentro do canteiro de serviço</t>
    </r>
  </si>
  <si>
    <r>
      <t xml:space="preserve">Demolição manual de laje pré-fabricada composta de tijolos cerâmicos, vigotas, armação e camada de capeamento, </t>
    </r>
    <r>
      <rPr>
        <b/>
        <sz val="9"/>
        <color rgb="FF000000"/>
        <rFont val="Arial"/>
        <family val="2"/>
      </rPr>
      <t>inclusive</t>
    </r>
    <r>
      <rPr>
        <sz val="9"/>
        <color rgb="FF000000"/>
        <rFont val="Arial"/>
        <family val="2"/>
      </rPr>
      <t xml:space="preserve"> empilhamento dentro do canteiro de serviço</t>
    </r>
  </si>
  <si>
    <r>
      <t xml:space="preserve">Remoção de carpete ou tapete colado no piso, </t>
    </r>
    <r>
      <rPr>
        <b/>
        <sz val="9"/>
        <color rgb="FF000000"/>
        <rFont val="Arial"/>
        <family val="2"/>
      </rPr>
      <t>inclusive</t>
    </r>
    <r>
      <rPr>
        <sz val="9"/>
        <color rgb="FF000000"/>
        <rFont val="Arial"/>
        <family val="2"/>
      </rPr>
      <t xml:space="preserve"> limpeza de resíduo de cola com palha de aço</t>
    </r>
  </si>
  <si>
    <r>
      <t xml:space="preserve">Aluguel de andaime com elementos tubulares (fachadeiro) sobre sapatas fixas, considerando-se a área da projeção vertical do andaime e pago pelo tempo necessário à sua utilização, </t>
    </r>
    <r>
      <rPr>
        <b/>
        <sz val="9"/>
        <color rgb="FF000000"/>
        <rFont val="Arial"/>
        <family val="2"/>
      </rPr>
      <t>exclusive</t>
    </r>
    <r>
      <rPr>
        <sz val="9"/>
        <color rgb="FF000000"/>
        <rFont val="Arial"/>
        <family val="2"/>
      </rPr>
      <t xml:space="preserve"> transporte dos elementos do andaime até a obra (vide item 04.020.0122), plataforma ou passarela de pinho (vide itens 05.005.0012 a 05.005.0015 ou 05.007.0007 e 05.008.0008), montagem e desmontagem dos andaimes (vide item 05.008.0001)</t>
    </r>
  </si>
  <si>
    <r>
      <t xml:space="preserve">Transporte de andaime tubular, considerando-se a área de projeção vertical do andaime, </t>
    </r>
    <r>
      <rPr>
        <b/>
        <sz val="9"/>
        <color rgb="FF000000"/>
        <rFont val="Arial"/>
        <family val="2"/>
      </rPr>
      <t xml:space="preserve">exclusive </t>
    </r>
    <r>
      <rPr>
        <sz val="9"/>
        <color rgb="FF000000"/>
        <rFont val="Arial"/>
        <family val="2"/>
      </rPr>
      <t>carga, descarga e tempo de espera do caminhão (vide item 04.021.0010)</t>
    </r>
  </si>
  <si>
    <r>
      <t xml:space="preserve">Carga e descarga manual de andaime tubular, </t>
    </r>
    <r>
      <rPr>
        <b/>
        <sz val="9"/>
        <color rgb="FF000000"/>
        <rFont val="Arial"/>
        <family val="2"/>
      </rPr>
      <t>inclusive</t>
    </r>
    <r>
      <rPr>
        <sz val="9"/>
        <color rgb="FF000000"/>
        <rFont val="Arial"/>
        <family val="2"/>
      </rPr>
      <t xml:space="preserve"> tempo de espera do caminhão, considerando-se a área de projeção vertical</t>
    </r>
  </si>
  <si>
    <r>
      <t xml:space="preserve">Plataforma ou passarela de madeira de 1ª, considerando-se aproveitamento da madeira 20 vezes, </t>
    </r>
    <r>
      <rPr>
        <b/>
        <sz val="9"/>
        <color rgb="FF000000"/>
        <rFont val="Arial"/>
        <family val="2"/>
      </rPr>
      <t>exclusive</t>
    </r>
    <r>
      <rPr>
        <sz val="9"/>
        <color rgb="FF000000"/>
        <rFont val="Arial"/>
        <family val="2"/>
      </rPr>
      <t xml:space="preserve"> andaime ou outro suporte e movimentação (vide item 05.008.0008)</t>
    </r>
  </si>
  <si>
    <r>
      <t xml:space="preserve">Transporte horizontal de material de 1ª categoria ou entulho, em carrinhos, a 10,00m de distância, </t>
    </r>
    <r>
      <rPr>
        <b/>
        <sz val="9"/>
        <color rgb="FF000000"/>
        <rFont val="Arial"/>
        <family val="2"/>
      </rPr>
      <t>inclusive</t>
    </r>
    <r>
      <rPr>
        <sz val="9"/>
        <color rgb="FF000000"/>
        <rFont val="Arial"/>
        <family val="2"/>
      </rPr>
      <t xml:space="preserve"> carga a pá</t>
    </r>
  </si>
  <si>
    <r>
      <t xml:space="preserve">Limpeza de caixa d’água ou cisterna, com capacidade até 1000l, </t>
    </r>
    <r>
      <rPr>
        <b/>
        <sz val="9"/>
        <color rgb="FF000000"/>
        <rFont val="Arial"/>
        <family val="2"/>
      </rPr>
      <t>inclusive</t>
    </r>
    <r>
      <rPr>
        <sz val="9"/>
        <color rgb="FF000000"/>
        <rFont val="Arial"/>
        <family val="2"/>
      </rPr>
      <t xml:space="preserve"> desinfecção conforme normas do INEA</t>
    </r>
  </si>
  <si>
    <r>
      <t xml:space="preserve">Concreto dosado racionalmente para uma resistência característica à compressão de 15MPa, </t>
    </r>
    <r>
      <rPr>
        <b/>
        <sz val="9"/>
        <color rgb="FF000000"/>
        <rFont val="Arial"/>
        <family val="2"/>
      </rPr>
      <t>inclusive</t>
    </r>
    <r>
      <rPr>
        <sz val="9"/>
        <color rgb="FF000000"/>
        <rFont val="Arial"/>
        <family val="2"/>
      </rPr>
      <t xml:space="preserve"> materiais, transporte, preparo com betoneira, lançamento e adensamento</t>
    </r>
  </si>
  <si>
    <r>
      <t xml:space="preserve">Concreto armado, fck=20MPa, incluindo materiais para 1,00m³ de concreto (importado de usina) adensado e colocado, 14,00m² de área moldada, formas e escoramento conforme itens 11.004.0022 e 11.004.0035, 60kg de aço CA-50, </t>
    </r>
    <r>
      <rPr>
        <b/>
        <sz val="9"/>
        <color rgb="FF000000"/>
        <rFont val="Arial"/>
        <family val="2"/>
      </rPr>
      <t xml:space="preserve">inclusive </t>
    </r>
    <r>
      <rPr>
        <sz val="9"/>
        <color rgb="FF000000"/>
        <rFont val="Arial"/>
        <family val="2"/>
      </rPr>
      <t>mão-de-obra para corte, dobragem, montagem e colocação nas formas</t>
    </r>
  </si>
  <si>
    <r>
      <t xml:space="preserve">Emboço interno com argamassa de cimento, cal hidratada aditivada e areia, no traço 1:1:8, com 2cm de espessura, </t>
    </r>
    <r>
      <rPr>
        <b/>
        <sz val="9"/>
        <color rgb="FF000000"/>
        <rFont val="Arial"/>
        <family val="2"/>
      </rPr>
      <t xml:space="preserve">exclusive </t>
    </r>
    <r>
      <rPr>
        <sz val="9"/>
        <color rgb="FF000000"/>
        <rFont val="Arial"/>
        <family val="2"/>
      </rPr>
      <t>chapisco</t>
    </r>
  </si>
  <si>
    <r>
      <t xml:space="preserve">Reboco externo ou interno com argamassa de cimento, cal hidratada em pó e areia fina, no traço 1:3:5, com 3mm de espessura, aplicado sobre emboço existente, </t>
    </r>
    <r>
      <rPr>
        <b/>
        <sz val="9"/>
        <color rgb="FF000000"/>
        <rFont val="Arial"/>
        <family val="2"/>
      </rPr>
      <t>exclusive</t>
    </r>
    <r>
      <rPr>
        <sz val="9"/>
        <color rgb="FF000000"/>
        <rFont val="Arial"/>
        <family val="2"/>
      </rPr>
      <t xml:space="preserve"> emboço</t>
    </r>
  </si>
  <si>
    <r>
      <t xml:space="preserve">Revestimento de paredes com tijolos cerâmicos tipo “boca de sapo”, de 20 x 9cm, fendido ao meio, assentes com juntas reentrantes de 1cm de largura e também de profundidade, rejuntadas com cimento comum ou cimento branco, </t>
    </r>
    <r>
      <rPr>
        <b/>
        <sz val="9"/>
        <color rgb="FF000000"/>
        <rFont val="Arial"/>
        <family val="2"/>
      </rPr>
      <t>inclusive</t>
    </r>
    <r>
      <rPr>
        <sz val="9"/>
        <color rgb="FF000000"/>
        <rFont val="Arial"/>
        <family val="2"/>
      </rPr>
      <t xml:space="preserve"> chapisco de cimento e areia, no traço 1:3 e emboço com argamassa de cimento, saibro e areia, no traço 1:3:3, com espessura de 2,5cm</t>
    </r>
  </si>
  <si>
    <r>
      <t>Instalação e assentamento de vaso sanitário individual e válvula de descarga (</t>
    </r>
    <r>
      <rPr>
        <b/>
        <sz val="9"/>
        <color rgb="FF000000"/>
        <rFont val="Arial"/>
        <family val="2"/>
      </rPr>
      <t xml:space="preserve">exclusive </t>
    </r>
    <r>
      <rPr>
        <sz val="9"/>
        <color rgb="FF000000"/>
        <rFont val="Arial"/>
        <family val="2"/>
      </rPr>
      <t xml:space="preserve">estes) em pavimento elevado, compreendendo:  instalação hidráulica com 2,00m de tubo de PVC de 50mm, com conexões, até a válvula e após esta até o vaso, ligação de esgotos com 3,00m de tubo de PVC de 100mm aos tubos de queda e ventilação, </t>
    </r>
    <r>
      <rPr>
        <b/>
        <sz val="9"/>
        <color rgb="FF000000"/>
        <rFont val="Arial"/>
        <family val="2"/>
      </rPr>
      <t>inclusive</t>
    </r>
    <r>
      <rPr>
        <sz val="9"/>
        <color rgb="FF000000"/>
        <rFont val="Arial"/>
        <family val="2"/>
      </rPr>
      <t xml:space="preserve"> conexões, </t>
    </r>
    <r>
      <rPr>
        <b/>
        <sz val="9"/>
        <color rgb="FF000000"/>
        <rFont val="Arial"/>
        <family val="2"/>
      </rPr>
      <t xml:space="preserve">exclusive </t>
    </r>
    <r>
      <rPr>
        <sz val="9"/>
        <color rgb="FF000000"/>
        <rFont val="Arial"/>
        <family val="2"/>
      </rPr>
      <t>os tubos de queda e ventilação</t>
    </r>
  </si>
  <si>
    <r>
      <t>Instalação e assentamento de lavatório de uma torneira (</t>
    </r>
    <r>
      <rPr>
        <b/>
        <sz val="9"/>
        <color rgb="FF000000"/>
        <rFont val="Arial"/>
        <family val="2"/>
      </rPr>
      <t>exclusive</t>
    </r>
    <r>
      <rPr>
        <sz val="9"/>
        <color rgb="FF000000"/>
        <rFont val="Arial"/>
        <family val="2"/>
      </rPr>
      <t xml:space="preserve"> fornecimento do aparelho), compreendendo:  3,00m de tubo de PVC de 25mm, 2,00m de tubo PVC de 40mm, rabichos e conexões</t>
    </r>
  </si>
  <si>
    <r>
      <t>Instalação e assentamento de pia com 1 cuba (</t>
    </r>
    <r>
      <rPr>
        <b/>
        <sz val="9"/>
        <color rgb="FF000000"/>
        <rFont val="Arial"/>
        <family val="2"/>
      </rPr>
      <t>exclusive</t>
    </r>
    <r>
      <rPr>
        <sz val="9"/>
        <color rgb="FF000000"/>
        <rFont val="Arial"/>
        <family val="2"/>
      </rPr>
      <t xml:space="preserve"> fornecimento do aparelho), compreendendo:  3,00m de tubo de PVC de 25mm, 3,00m de tubo PVC de 50mm e conexões</t>
    </r>
  </si>
  <si>
    <r>
      <t>Instalação e assentamento de tanque de serviço (</t>
    </r>
    <r>
      <rPr>
        <b/>
        <sz val="9"/>
        <color rgb="FF000000"/>
        <rFont val="Arial"/>
        <family val="2"/>
      </rPr>
      <t xml:space="preserve">exclusive </t>
    </r>
    <r>
      <rPr>
        <sz val="9"/>
        <color rgb="FF000000"/>
        <rFont val="Arial"/>
        <family val="2"/>
      </rPr>
      <t>fornecimento do aparelho), compreendendo:  3,00m de tubo de PVC de 25mm, 3,00m de tubo de PVC de 50mm e conexões</t>
    </r>
  </si>
  <si>
    <r>
      <t>Estrutura metálica para cobertura de galpão em arco ou em duas ou mais águas, com treliças, terças tirantes, etc, sobre apoios (</t>
    </r>
    <r>
      <rPr>
        <b/>
        <sz val="9"/>
        <color rgb="FF000000"/>
        <rFont val="Arial"/>
        <family val="2"/>
      </rPr>
      <t>exclusive</t>
    </r>
    <r>
      <rPr>
        <sz val="9"/>
        <color rgb="FF000000"/>
        <rFont val="Arial"/>
        <family val="2"/>
      </rPr>
      <t xml:space="preserve"> estes) para carga de cobertura de fibrocimento ou metálica, vãos até 15,00m, com uma demão de pintura antióxido, </t>
    </r>
    <r>
      <rPr>
        <b/>
        <sz val="9"/>
        <color rgb="FF000000"/>
        <rFont val="Arial"/>
        <family val="2"/>
      </rPr>
      <t>exclusive</t>
    </r>
    <r>
      <rPr>
        <sz val="9"/>
        <color rgb="FF000000"/>
        <rFont val="Arial"/>
        <family val="2"/>
      </rPr>
      <t xml:space="preserve"> cobertura e acessórios. FORNECIMENTO e MONTAGEM</t>
    </r>
  </si>
  <si>
    <r>
      <t xml:space="preserve">Cobertura em chapas de acrílico translúcido de 6mm de espessura, </t>
    </r>
    <r>
      <rPr>
        <b/>
        <sz val="9"/>
        <color rgb="FF000000"/>
        <rFont val="Arial"/>
        <family val="2"/>
      </rPr>
      <t>inclusive</t>
    </r>
    <r>
      <rPr>
        <sz val="9"/>
        <color rgb="FF000000"/>
        <rFont val="Arial"/>
        <family val="2"/>
      </rPr>
      <t xml:space="preserve"> fixação, </t>
    </r>
    <r>
      <rPr>
        <b/>
        <sz val="9"/>
        <color rgb="FF000000"/>
        <rFont val="Arial"/>
        <family val="2"/>
      </rPr>
      <t>exclusive</t>
    </r>
    <r>
      <rPr>
        <sz val="9"/>
        <color rgb="FF000000"/>
        <rFont val="Arial"/>
        <family val="2"/>
      </rPr>
      <t xml:space="preserve"> estrutura. Medido pela área real de cobertura. FORNECIMENTO e COLOCAÇÃO</t>
    </r>
  </si>
  <si>
    <r>
      <t xml:space="preserve">Estrutura de alumínio para clarabóia em chapa de policarbonato, </t>
    </r>
    <r>
      <rPr>
        <b/>
        <sz val="9"/>
        <color rgb="FF000000"/>
        <rFont val="Arial"/>
        <family val="2"/>
      </rPr>
      <t>exclusive</t>
    </r>
    <r>
      <rPr>
        <sz val="9"/>
        <color rgb="FF000000"/>
        <rFont val="Arial"/>
        <family val="2"/>
      </rPr>
      <t xml:space="preserve"> esta. FORNECIMENTO e COLOCAÇÃO</t>
    </r>
  </si>
  <si>
    <r>
      <t xml:space="preserve">Impermeabilização com manta a base de asfalto modificado com polímeros, atendendo a norma ABNT-NBR 9952 como tipo III-B, com espessura de 4,0mm, consumo mínimo de 1,15m²/m², aplicação com chama de maçarico sobre primer asfáltico base água ou base solvente, com consumo de 0,40kg/m², </t>
    </r>
    <r>
      <rPr>
        <b/>
        <sz val="9"/>
        <color rgb="FF000000"/>
        <rFont val="Arial"/>
        <family val="2"/>
      </rPr>
      <t>inclusive</t>
    </r>
    <r>
      <rPr>
        <sz val="9"/>
        <color rgb="FF000000"/>
        <rFont val="Arial"/>
        <family val="2"/>
      </rPr>
      <t xml:space="preserve"> este, em substrato com caimento de 1%, </t>
    </r>
    <r>
      <rPr>
        <b/>
        <sz val="9"/>
        <color rgb="FF000000"/>
        <rFont val="Arial"/>
        <family val="2"/>
      </rPr>
      <t>exclusive</t>
    </r>
    <r>
      <rPr>
        <sz val="9"/>
        <color rgb="FF000000"/>
        <rFont val="Arial"/>
        <family val="2"/>
      </rPr>
      <t xml:space="preserve"> regularização, camada separadora e proteção mecânica. CAMPO DE APLICAÇÃO: Terraços, lajes maciças, calhas, marquises, varandas e em regiões com temperatura até -5°C</t>
    </r>
  </si>
  <si>
    <r>
      <t xml:space="preserve">Preparo de superfícies novas, com revestimento liso, interior, </t>
    </r>
    <r>
      <rPr>
        <b/>
        <sz val="9"/>
        <color rgb="FF000000"/>
        <rFont val="Arial"/>
        <family val="2"/>
      </rPr>
      <t>inclusive</t>
    </r>
    <r>
      <rPr>
        <sz val="9"/>
        <color rgb="FF000000"/>
        <rFont val="Arial"/>
        <family val="2"/>
      </rPr>
      <t xml:space="preserve"> raspagem, limpeza, uma demão de selador, uma demão de massa corrida e lixamentos necessários</t>
    </r>
  </si>
  <si>
    <r>
      <t xml:space="preserve">Pintura com tinta látex, classificação premium ou standard (NBR 15079), fosco aveludada em revestimento liso, interior, acabamento de alta classe, em três demãos e mais uma demão de massa corrida e lixamento, sobre a superfície já preparada, conforme o item 17.018.0010, </t>
    </r>
    <r>
      <rPr>
        <b/>
        <sz val="9"/>
        <color rgb="FF000000"/>
        <rFont val="Arial"/>
        <family val="2"/>
      </rPr>
      <t>exclusive</t>
    </r>
    <r>
      <rPr>
        <sz val="9"/>
        <color rgb="FF000000"/>
        <rFont val="Arial"/>
        <family val="2"/>
      </rPr>
      <t xml:space="preserve"> este preparo</t>
    </r>
  </si>
  <si>
    <r>
      <t xml:space="preserve">Envernizamento de madeira com verniz tipo copal brilhante para interior, </t>
    </r>
    <r>
      <rPr>
        <b/>
        <sz val="9"/>
        <color rgb="FF000000"/>
        <rFont val="Arial"/>
        <family val="2"/>
      </rPr>
      <t>inclusive</t>
    </r>
    <r>
      <rPr>
        <sz val="9"/>
        <color rgb="FF000000"/>
        <rFont val="Arial"/>
        <family val="2"/>
      </rPr>
      <t xml:space="preserve"> lixamento, uma demão de verniz imunizante e impermeabilizante incolor, anilina e uma demão de acabamento</t>
    </r>
  </si>
  <si>
    <r>
      <t xml:space="preserve">Vaso sanitário de louça branca, convencional, tipo médio luxo, com medidas em torno de 37 x 47 x 38cm, </t>
    </r>
    <r>
      <rPr>
        <b/>
        <sz val="9"/>
        <color rgb="FF000000"/>
        <rFont val="Arial"/>
        <family val="2"/>
      </rPr>
      <t xml:space="preserve">inclusive </t>
    </r>
    <r>
      <rPr>
        <sz val="9"/>
        <color rgb="FF000000"/>
        <rFont val="Arial"/>
        <family val="2"/>
      </rPr>
      <t>assento plástico tipo médio luxo, bolsa de ligação, válvula de descarga de 1.1/2” com registro integrado, sistema hidromecânico (isenta de golpe de ariete) com corpo em latão, canopla e botão em metal cromado, tubo de ligação e acessórios de fixação. FORNECIMENTO</t>
    </r>
  </si>
  <si>
    <r>
      <t xml:space="preserve">Vaso sanitário de louça branca, para pessoas com necessidades específicas, </t>
    </r>
    <r>
      <rPr>
        <b/>
        <sz val="9"/>
        <color rgb="FF000000"/>
        <rFont val="Arial"/>
        <family val="2"/>
      </rPr>
      <t xml:space="preserve">inclusive </t>
    </r>
    <r>
      <rPr>
        <sz val="9"/>
        <color rgb="FF000000"/>
        <rFont val="Arial"/>
        <family val="2"/>
      </rPr>
      <t>assento especial, bolsa de ligação e acessórios de fixação. FORNECIMENTO</t>
    </r>
  </si>
  <si>
    <r>
      <t>Elevador especial para cadeira de rodas, capacidade de 210Kg, velocidade 15m/min., 2 paradas, percurso de 6,60m, comando automático simples em todas as paradas, com 2 portas por andar, abertura do mesmo lado tipo eixo vertical, dimensões de (0,80x2,00)m, portas em chapa com acabamento primer para pintura (</t>
    </r>
    <r>
      <rPr>
        <b/>
        <sz val="9"/>
        <color rgb="FF000000"/>
        <rFont val="Arial"/>
        <family val="2"/>
      </rPr>
      <t xml:space="preserve">exclusive </t>
    </r>
    <r>
      <rPr>
        <sz val="9"/>
        <color rgb="FF000000"/>
        <rFont val="Arial"/>
        <family val="2"/>
      </rPr>
      <t>esta), cabine com dimensões de (0,90x1,30x2,05)m em estrutura metálica, acabamento do piso em chapa de aço 3/16” revestida em borracha sintética, teto e acabamentos laterais com painel em chapa de aço com pintura eletrostática na cor bege, iluminação da cabine com luminária fluorescente, porta da cabine pantográfica manual em alumínio anodizado, guias em perfil “T” laminado, contrapeso em blocos de ferro fundido, com máquina superior, moto-freio e redutor de rosca sem fim, auxiliado por contrapeso. FORNECIMENTO, MONTAGEM e INSTALAÇÃO</t>
    </r>
  </si>
  <si>
    <t xml:space="preserve">Perímetro = 1,50 + 5,50 + 22,00 + 1,50 = 30,50 m </t>
  </si>
  <si>
    <t>1.1</t>
  </si>
  <si>
    <t>1.2</t>
  </si>
  <si>
    <t>2.1</t>
  </si>
  <si>
    <t>3.1</t>
  </si>
  <si>
    <t>4.1</t>
  </si>
  <si>
    <t>5.1</t>
  </si>
  <si>
    <t>6.1</t>
  </si>
  <si>
    <t>7.1</t>
  </si>
  <si>
    <t>8.1</t>
  </si>
  <si>
    <t>9.1</t>
  </si>
  <si>
    <t>10.1</t>
  </si>
  <si>
    <t>11.1</t>
  </si>
  <si>
    <t>12.1</t>
  </si>
  <si>
    <t>13.1</t>
  </si>
  <si>
    <t>14.1</t>
  </si>
  <si>
    <t>15.1</t>
  </si>
  <si>
    <t>CÓDIGO EMOP/SINAPI</t>
  </si>
  <si>
    <t>UNID.</t>
  </si>
  <si>
    <t>QUANT.</t>
  </si>
  <si>
    <t>2.2</t>
  </si>
  <si>
    <t>2.3</t>
  </si>
  <si>
    <t>2.4</t>
  </si>
  <si>
    <t>2.5</t>
  </si>
  <si>
    <t>2.6</t>
  </si>
  <si>
    <t>2.7</t>
  </si>
  <si>
    <t>2.8</t>
  </si>
  <si>
    <t>2.9</t>
  </si>
  <si>
    <t>2.10</t>
  </si>
  <si>
    <t>2.11</t>
  </si>
  <si>
    <t>2.12</t>
  </si>
  <si>
    <t>2.13</t>
  </si>
  <si>
    <t>2.14</t>
  </si>
  <si>
    <t>2.15</t>
  </si>
  <si>
    <t>2.16</t>
  </si>
  <si>
    <t>2.17</t>
  </si>
  <si>
    <t>2.18</t>
  </si>
  <si>
    <t>3.2</t>
  </si>
  <si>
    <t>3.3</t>
  </si>
  <si>
    <t>3.4</t>
  </si>
  <si>
    <t>3.5</t>
  </si>
  <si>
    <t>3.6</t>
  </si>
  <si>
    <t>3.7</t>
  </si>
  <si>
    <t>4.2</t>
  </si>
  <si>
    <t>4.3</t>
  </si>
  <si>
    <t>5.2</t>
  </si>
  <si>
    <t>5.3</t>
  </si>
  <si>
    <t>6.2</t>
  </si>
  <si>
    <t>6.3</t>
  </si>
  <si>
    <t>7.2</t>
  </si>
  <si>
    <t>7.3</t>
  </si>
  <si>
    <t>8.2</t>
  </si>
  <si>
    <t>8.3</t>
  </si>
  <si>
    <t>8.4</t>
  </si>
  <si>
    <t>8.5</t>
  </si>
  <si>
    <t>8.6</t>
  </si>
  <si>
    <t>8.7</t>
  </si>
  <si>
    <t>8.8</t>
  </si>
  <si>
    <t>8.10</t>
  </si>
  <si>
    <t>8.11</t>
  </si>
  <si>
    <t>8.13</t>
  </si>
  <si>
    <t>8.14</t>
  </si>
  <si>
    <t>8.15</t>
  </si>
  <si>
    <t>9.2</t>
  </si>
  <si>
    <t>10.2</t>
  </si>
  <si>
    <t>10.3</t>
  </si>
  <si>
    <t>10.4</t>
  </si>
  <si>
    <t>10.5</t>
  </si>
  <si>
    <t>10.6</t>
  </si>
  <si>
    <t>10.7</t>
  </si>
  <si>
    <t>10.8</t>
  </si>
  <si>
    <t>10.9</t>
  </si>
  <si>
    <t>10.10</t>
  </si>
  <si>
    <t>10.11</t>
  </si>
  <si>
    <t>11.2</t>
  </si>
  <si>
    <t>11.3</t>
  </si>
  <si>
    <t>11.4</t>
  </si>
  <si>
    <t>11.5</t>
  </si>
  <si>
    <t>12.2</t>
  </si>
  <si>
    <t>13.2</t>
  </si>
  <si>
    <t>13.3</t>
  </si>
  <si>
    <t>13.4</t>
  </si>
  <si>
    <t>13.5</t>
  </si>
  <si>
    <t>13.6</t>
  </si>
  <si>
    <t>Fechamento de alvenaria</t>
  </si>
  <si>
    <t>Perímetro = (2,30 + 1,30) x 2,00 = 7,20m</t>
  </si>
  <si>
    <t>Local de retirada do azulejo</t>
  </si>
  <si>
    <t>Sanitário 01</t>
  </si>
  <si>
    <t>Alvenaria demolida</t>
  </si>
  <si>
    <t>Fechamento da Porta</t>
  </si>
  <si>
    <t>Salão 02</t>
  </si>
  <si>
    <t>Banheiros Salão 02</t>
  </si>
  <si>
    <t>Perímetro Interno - Banheiro 1 = 2,05 + 1,55 + 1,55 + 2,00 = 7,15m</t>
  </si>
  <si>
    <t>Perímetro Interno - Banheiro 2 = 2,00 + 1,95 + 1,20 + 1,15 = 6,30m</t>
  </si>
  <si>
    <t>Perímetro externo - Banheiros 1 e 2 = 0,58 + 1,27 + (0,62 x 2) + 1,74 + 2,18 = 7,01m</t>
  </si>
  <si>
    <t>Sanitário</t>
  </si>
  <si>
    <t>Alvenaria Demolida</t>
  </si>
  <si>
    <t>Sala 12</t>
  </si>
  <si>
    <t>Fechamento de Porta</t>
  </si>
  <si>
    <t>Salão 03 / Circulação</t>
  </si>
  <si>
    <t>Sanitário Feminino</t>
  </si>
  <si>
    <t>Sanitário Masculino</t>
  </si>
  <si>
    <t>Perímetro = (2,85 + 1,85) x 2 = 9,20m</t>
  </si>
  <si>
    <t>Mesma área calculada para chapisco.</t>
  </si>
  <si>
    <t>Fechamento da Porta - Interno</t>
  </si>
  <si>
    <t>Fechamento da Porta - Externo</t>
  </si>
  <si>
    <t>Fechamento de Porta - Hall Sala 05 e 04</t>
  </si>
  <si>
    <t>Perímetro = (5,30 + 1,60) x 2 = 13,80m</t>
  </si>
  <si>
    <t>Arremate da Janela - Sala 05</t>
  </si>
  <si>
    <t>Arremate da Janela - Sala 04</t>
  </si>
  <si>
    <t>Perímetro = (5,90 + 1,60) x 2 = 15,00m</t>
  </si>
  <si>
    <t>Perímetro = (5,60 + 1,60) x 2 = 12,40m</t>
  </si>
  <si>
    <t>Arremate da Janela - Sala 02</t>
  </si>
  <si>
    <t>Arremate da Janela - Mezanino 02</t>
  </si>
  <si>
    <t>Perímetro = (5,30 + 1,30) x 2 = 13,20m</t>
  </si>
  <si>
    <t>Perímetro = (5,90 + 1,30) x 2 = 14,40m</t>
  </si>
  <si>
    <t>Arremate da Janela - Mezanino 01</t>
  </si>
  <si>
    <t>Arremate da Janela - Mezanino 03</t>
  </si>
  <si>
    <t>Perímetro = (5,60 + 1,30) x 2 = 13,80m</t>
  </si>
  <si>
    <t>Perímetro = (3,60 + 1,30) x 2 = 9,80m</t>
  </si>
  <si>
    <t>Perímetro = (3,60 + 1,60) x 2 = 10,40m</t>
  </si>
  <si>
    <t>Arremate da Janela - Sala 13</t>
  </si>
  <si>
    <t>Arremate da Janela - Sala 12 e Cozinha</t>
  </si>
  <si>
    <t>Arremate da Janela - Sala 10</t>
  </si>
  <si>
    <t>Arremate da Janela - Auditório</t>
  </si>
  <si>
    <t>Perímetro = (2,80 + 1,60) x 2 = 8,80m</t>
  </si>
  <si>
    <t>Demolição das paredes</t>
  </si>
  <si>
    <t>Porta Sala 05</t>
  </si>
  <si>
    <t>Sala 04 / Circulação</t>
  </si>
  <si>
    <t>Sanitário PNE</t>
  </si>
  <si>
    <t>Sanitário 02</t>
  </si>
  <si>
    <t>13.331.0015-0</t>
  </si>
  <si>
    <t>Revestimento de piso cerâmico em porcelanato natural, tráfego intenso (P.E.I. IV), 60 x 60cm, assentes em superfície em osso com argamassa de cimento e cola (argamassa colante) e rejuntamento pronto</t>
  </si>
  <si>
    <t>13.331.0050-0</t>
  </si>
  <si>
    <t>Rodapé com cerâmica em porcelanato natural , com 7,5 a 10cm de altura, assentes conforme item 13.025.0016</t>
  </si>
  <si>
    <t>8.16</t>
  </si>
  <si>
    <t>8.17</t>
  </si>
  <si>
    <t>Térreo (Retirado do Projeto)</t>
  </si>
  <si>
    <t>Sanitário 1</t>
  </si>
  <si>
    <t>Sanitário 2</t>
  </si>
  <si>
    <t>Mezanino (Retirado do Projeto)</t>
  </si>
  <si>
    <t>1º Pavimento (Retirado do Projeto)</t>
  </si>
  <si>
    <t>Sanitário Masculino / Feminino</t>
  </si>
  <si>
    <t>13.330.0022-0</t>
  </si>
  <si>
    <t>Assentamento de pisos de mármore ou granito, exclusive estes, em placas, em superfície em osso, com nata de cimento sobre argamassa de cimento, cal hidratada aditivada e areia, no traço 1:1:10, com espessura de 3,5cm e rejuntamento pronto</t>
  </si>
  <si>
    <t>8.18</t>
  </si>
  <si>
    <t>Item 2.12 - Remoção de piso de mármore ou granito</t>
  </si>
  <si>
    <t>13.365.0075-0</t>
  </si>
  <si>
    <t>Revestimento de piso com granito cinza corumbá, em placas, com espessura de 2cm, polido e lustrado, assente com argamassa colante, juntas de 2mm de espessura e rejuntamento pronto</t>
  </si>
  <si>
    <t>8.19</t>
  </si>
  <si>
    <t>Área do Elevador (Retirado do Projeto) = 10,52 - 4,20 = 6,32 m²</t>
  </si>
  <si>
    <t>Sub Solo</t>
  </si>
  <si>
    <t>PORTAS</t>
  </si>
  <si>
    <t>17.018.0117-0</t>
  </si>
  <si>
    <t>SUB SOLO</t>
  </si>
  <si>
    <t>SALA 01 (5,3+2,0)X2= 14,60</t>
  </si>
  <si>
    <t>DESCONTAR (2,4 X 1,2 +2,1 X 0,8)= 4,56</t>
  </si>
  <si>
    <t>SALÃO 01</t>
  </si>
  <si>
    <t>11,04+12,4+3,00+5,00+0,80</t>
  </si>
  <si>
    <t>15,10 =61,14</t>
  </si>
  <si>
    <t>SOMAR 12 PILARES DE 1,0m DE PERIM.</t>
  </si>
  <si>
    <t>DESCONTAR</t>
  </si>
  <si>
    <t xml:space="preserve">        JANELAS  (2,37+4,7+2,3)X0,55 =5,42</t>
  </si>
  <si>
    <t>PORTA   080X2,10 = 1,68</t>
  </si>
  <si>
    <t>CORREDODA ESCADA</t>
  </si>
  <si>
    <t>4,10 + 4,40 +5,30 = 13,80</t>
  </si>
  <si>
    <t xml:space="preserve">DESCONTAR </t>
  </si>
  <si>
    <t>TETO SUB SOLO</t>
  </si>
  <si>
    <t>TOTAL GERAL</t>
  </si>
  <si>
    <t>SALA 01</t>
  </si>
  <si>
    <t>PER. (0,6+1,75+2,18+2,1+3,8+0,5+0,6) = 11,52</t>
  </si>
  <si>
    <t>DESCONTAR (2,1X1,00 +4,50X1,4) = 8,4</t>
  </si>
  <si>
    <t>SALA 02</t>
  </si>
  <si>
    <t>PER. (0,30+1,20+3,00+3,20+2,18+1,27+0,60) =12,95</t>
  </si>
  <si>
    <t>DESC. (0,6X2,10 0,6X0,6) =1,62</t>
  </si>
  <si>
    <t>PILAR</t>
  </si>
  <si>
    <t>SALA 03 E 04</t>
  </si>
  <si>
    <t>PER.  (2,30+5,60+1,50+2,60+1,50+5,10+3,40+0,50+</t>
  </si>
  <si>
    <t>4,20+0,5+2,1+2,6+2,1+0,5+3,60+2,4+0,4+3,2) = 42</t>
  </si>
  <si>
    <t>(4X0,5 +2X3,50) X 1,4 = 12,60</t>
  </si>
  <si>
    <t>DESC. ((1,5+5X1,6+1,8) X 2,10 = 23,70</t>
  </si>
  <si>
    <t>2X0,6X0,6 =0,72</t>
  </si>
  <si>
    <t>SALA 06</t>
  </si>
  <si>
    <t>PER. (1,50+1,30+1,30+1,2+3,00+1,20+3,00+3,20) =</t>
  </si>
  <si>
    <t>DESC. (0,60+0,80)X2,10 =2,94</t>
  </si>
  <si>
    <t>0,6X0,6 = 0,36</t>
  </si>
  <si>
    <t>3,60X1,4 = 5,04</t>
  </si>
  <si>
    <t>CIRCULAÇÃO</t>
  </si>
  <si>
    <t>PER. (14,50+2,3+2,7+1,4+3,00+0,70+0,7+7,00+2,50)</t>
  </si>
  <si>
    <t>6,0 X</t>
  </si>
  <si>
    <t>DESC. (1,5+0,8 +1,9)X2,10 = 8,82</t>
  </si>
  <si>
    <t>PILARES   8X 4,8</t>
  </si>
  <si>
    <t>ESCADA</t>
  </si>
  <si>
    <t>PER. 4,2+6,2+4,0 = 14,40</t>
  </si>
  <si>
    <t xml:space="preserve">TERREO     </t>
  </si>
  <si>
    <t>PAREDES</t>
  </si>
  <si>
    <t>TETOS</t>
  </si>
  <si>
    <t>11,36 + 97,50 +43,75 +22,42 = 175,03</t>
  </si>
  <si>
    <t>TERREO  MEZANINO</t>
  </si>
  <si>
    <t>PER. (2,20+13,20+2,60+13,20) = 31,20</t>
  </si>
  <si>
    <t>DESC.   13,2*1,2</t>
  </si>
  <si>
    <t>DESC. 15,84</t>
  </si>
  <si>
    <t>VAZIO  (13,20+0,5+1,2+3,0+1,2+1,2+27,10) = 27,10</t>
  </si>
  <si>
    <t>MEZANINO 01</t>
  </si>
  <si>
    <t>PER. 2X(5,0+2,5) = 15,00</t>
  </si>
  <si>
    <t>NICHO</t>
  </si>
  <si>
    <t>2X(1,2+1)X2,00 =</t>
  </si>
  <si>
    <t>ENTRADA</t>
  </si>
  <si>
    <t>PER. (2,2+1,7)X2,0 = 7,40</t>
  </si>
  <si>
    <t>DESC. 1,60 *0,9</t>
  </si>
  <si>
    <t>PER.   (5,30+2,5)X2 = 16,60</t>
  </si>
  <si>
    <t xml:space="preserve">DESC.  5,20X2,3 = </t>
  </si>
  <si>
    <t>DESC.  5,00+2,30 = 11,50</t>
  </si>
  <si>
    <t>VAZIO MEZANINO 01</t>
  </si>
  <si>
    <t>PER.  (0,5+1,0+5,0+1,0+0,5+4,30)=12,30</t>
  </si>
  <si>
    <t>DESC.  5,00*2,3</t>
  </si>
  <si>
    <t>DESC. 0,5+0,5+3,4 = 4,4</t>
  </si>
  <si>
    <t>MEZANINO 03 SALAS 01, 02 E 05</t>
  </si>
  <si>
    <t>NEZANINO 03</t>
  </si>
  <si>
    <t>VAZIO DO MEZANINO 02</t>
  </si>
  <si>
    <t>PER.  (5,50+2,0+0,5+1,0) = 9</t>
  </si>
  <si>
    <t>DESC.   5,50X 2,3</t>
  </si>
  <si>
    <t>DESC (0,5+0,5+3,5) =4,5</t>
  </si>
  <si>
    <t>CIRCULAÇÃO      32,77</t>
  </si>
  <si>
    <t>ESCADA               22,42</t>
  </si>
  <si>
    <t>SALA 05               14,62</t>
  </si>
  <si>
    <t>SALÃO 02           29,55</t>
  </si>
  <si>
    <t>MEZANINO 03   32,19</t>
  </si>
  <si>
    <t>MEZANINO 01   12,5</t>
  </si>
  <si>
    <t>MEZANINO 02  13,75</t>
  </si>
  <si>
    <t>SALA 04            20,11</t>
  </si>
  <si>
    <t>SALA 05           21,35</t>
  </si>
  <si>
    <t xml:space="preserve">                           199,26 m2</t>
  </si>
  <si>
    <t>TOTAL GERAL TERREO</t>
  </si>
  <si>
    <t>TETO</t>
  </si>
  <si>
    <t>PAREDE</t>
  </si>
  <si>
    <t>TERREO</t>
  </si>
  <si>
    <t>1º PAVIMENTO</t>
  </si>
  <si>
    <t>AUDITORIO</t>
  </si>
  <si>
    <t>PER. (2,2+1,0+2,5+8,5+4,0+3,0+1,8+12,6)</t>
  </si>
  <si>
    <t>DESC. (2,0+1,5+0,5)</t>
  </si>
  <si>
    <t>DESC 1,60X 2,10</t>
  </si>
  <si>
    <t>ÁREA DO PRISMA</t>
  </si>
  <si>
    <t>PERM (5,8+10,5+6,7+6,2+0,2+4,2+0,3)</t>
  </si>
  <si>
    <t>DESC. 1,60X2,10</t>
  </si>
  <si>
    <t>DESC. 5,20X1,60</t>
  </si>
  <si>
    <t>DESC. 1,0 X 0,50</t>
  </si>
  <si>
    <t>SALAO 03</t>
  </si>
  <si>
    <t>PER. (6,2+2,0+6,9+6,8+8,9)</t>
  </si>
  <si>
    <t>DESC. 3,70 X 2,60</t>
  </si>
  <si>
    <t>PER. (11,5+1,10)X 2,00 = 25,20</t>
  </si>
  <si>
    <t>DESC.    9,62</t>
  </si>
  <si>
    <t xml:space="preserve">DESC.4X 0,80 X2,1 </t>
  </si>
  <si>
    <t>SALA  13</t>
  </si>
  <si>
    <t>PER. (5,7+2,4+0,8+0,4+0,4+0,8+3,60+0,8+3,5)</t>
  </si>
  <si>
    <t>DESC.0,8 X 2,10</t>
  </si>
  <si>
    <t>DESC. 0,60 X 2,10</t>
  </si>
  <si>
    <t>DESC. (0,5+0,5+3,4+0,5+2)</t>
  </si>
  <si>
    <t>SALA 12</t>
  </si>
  <si>
    <t>PER.  (3,2+1,8+1,2+0,4+0,6+1,9+2,8)</t>
  </si>
  <si>
    <t>DESC.  2,0 X 1,60</t>
  </si>
  <si>
    <t>DESC.  0,80 X 2,10</t>
  </si>
  <si>
    <t>SALA 10</t>
  </si>
  <si>
    <t>PER. (2,7+1,1+1,3+2,5+0,6+2,8+4,0)</t>
  </si>
  <si>
    <t>DESC. (0,5+3,40) x 1,6</t>
  </si>
  <si>
    <t>DESC.  0,80 X2,10</t>
  </si>
  <si>
    <t>AUDITORIO     57,07</t>
  </si>
  <si>
    <t>SALÃO E CIRCULAÇÃO PRISMA</t>
  </si>
  <si>
    <t>((6+6,8)/2) X 19,30=123,52m²</t>
  </si>
  <si>
    <t>DESCONTAR PRISMA 8,20 X 4,50 = 36,90m²</t>
  </si>
  <si>
    <t>TIRADO EM PLANTA</t>
  </si>
  <si>
    <t>CIRCULAÇÃO   12,70</t>
  </si>
  <si>
    <t>SALA 13              21,35</t>
  </si>
  <si>
    <t>SALA 12               7,89</t>
  </si>
  <si>
    <t>SALA 10              14,82</t>
  </si>
  <si>
    <t>1º PAV.</t>
  </si>
  <si>
    <t>SUBSOLO</t>
  </si>
  <si>
    <t>TOTAL TETO</t>
  </si>
  <si>
    <t>TOTAL PAREDE</t>
  </si>
  <si>
    <t>PINTURA AREA MOLHADA</t>
  </si>
  <si>
    <t>SANITARIO 01</t>
  </si>
  <si>
    <t>PER,  (2,5+1,30) X 2 = 7,20</t>
  </si>
  <si>
    <t>DESC  0,6 X 0,7  =0,42</t>
  </si>
  <si>
    <t>DESC  2 X 0,6 X 0,6 = 0,72</t>
  </si>
  <si>
    <t>SANITARIO 02</t>
  </si>
  <si>
    <t>PER.  (1,9 + 1,2) X 2 = 6,2</t>
  </si>
  <si>
    <t>DESC 0,6X0,7</t>
  </si>
  <si>
    <t>DESC  0,6X0,6</t>
  </si>
  <si>
    <t>SANITARIO PNE</t>
  </si>
  <si>
    <t>PER  (1,9 +1,53) X 2,0 = 7,02</t>
  </si>
  <si>
    <t>DESC  1,0 X 0,7</t>
  </si>
  <si>
    <t>DESC 0,6X 0,6</t>
  </si>
  <si>
    <t>SANITARIO 06</t>
  </si>
  <si>
    <t>DESC 0,6 X0,7</t>
  </si>
  <si>
    <t>DESC  0,6 *0,6</t>
  </si>
  <si>
    <t>PER  (1,35 + 1,15+ 1,4 + 1,15) = 5,05</t>
  </si>
  <si>
    <t>SANITARIO 13</t>
  </si>
  <si>
    <t>PER  (1,3+1,8) X 2 = 6,2</t>
  </si>
  <si>
    <t>DESC  0,6X0,7</t>
  </si>
  <si>
    <t>BANHEROS MASC E FEMININO   ( X 2)</t>
  </si>
  <si>
    <t>PER  (1,85 2,85) X2,0 = 9,4</t>
  </si>
  <si>
    <t>DESC  0,6 X 0,7</t>
  </si>
  <si>
    <t>DESC  1,0 X 0,6</t>
  </si>
  <si>
    <t xml:space="preserve">AREA DE SERVIÇO  </t>
  </si>
  <si>
    <t>OBS SEM ÁREA DE PINTURA</t>
  </si>
  <si>
    <t>COPA 1º PAVIMENTO</t>
  </si>
  <si>
    <t>PER  (5,4+2,75+2,2+0,6+0,4+2,8+1,8) = 15,85</t>
  </si>
  <si>
    <t>DESC  0,8 X 2,10</t>
  </si>
  <si>
    <t>DESC  0,6 X0,6</t>
  </si>
  <si>
    <t>DESC 2,3 X 1,6</t>
  </si>
  <si>
    <t>DESC  (0,55 +2,0) X 1,4</t>
  </si>
  <si>
    <t>A. MOLH.</t>
  </si>
  <si>
    <t>JANELAS</t>
  </si>
  <si>
    <t>SALA 01   ( 2,2 X 1,6)</t>
  </si>
  <si>
    <t>SALÃO 01      (2.4 X1,6 )</t>
  </si>
  <si>
    <t>PORTA 08 X 2,1</t>
  </si>
  <si>
    <t>PORTA  1.6 X 2,1</t>
  </si>
  <si>
    <t xml:space="preserve">0,6 X 0,6 </t>
  </si>
  <si>
    <t>0,6 X 2,10</t>
  </si>
  <si>
    <t>0,8 X 2,10</t>
  </si>
  <si>
    <t>JANELA</t>
  </si>
  <si>
    <t>1,0X0,6</t>
  </si>
  <si>
    <t>PORTA</t>
  </si>
  <si>
    <t>0,6 2,1</t>
  </si>
  <si>
    <t>0,6X2,10</t>
  </si>
  <si>
    <t>1,00X2,1</t>
  </si>
  <si>
    <t>1,2 X1,8</t>
  </si>
  <si>
    <t>3,6 X 1,80</t>
  </si>
  <si>
    <t>1,2X2,1</t>
  </si>
  <si>
    <t>AREA PROJETADA</t>
  </si>
  <si>
    <t xml:space="preserve">4,40 X4,0  COM  3 LANCES COMPLETO   </t>
  </si>
  <si>
    <t>PORTA DO SUBSOLO 0,8 2,10</t>
  </si>
  <si>
    <t>CORRIMÃO</t>
  </si>
  <si>
    <t>EXTERNO (4,3+4+4,4) = 12,8</t>
  </si>
  <si>
    <t>INTERNO  (1,6+1,3+1,6+1,3) = 5,80</t>
  </si>
  <si>
    <t xml:space="preserve">ESTRUTURA </t>
  </si>
  <si>
    <t xml:space="preserve">9,55 X 5,40 </t>
  </si>
  <si>
    <t>GUARDA CORPO MEZANINO</t>
  </si>
  <si>
    <t>5,4+5,0</t>
  </si>
  <si>
    <t>ESCADA DE ACESSO MEZABINO</t>
  </si>
  <si>
    <t>DIAMETRO 1,20m ALTURA 2..6</t>
  </si>
  <si>
    <t>CIRC. TERREO (12,5 X 2,50 + 1,25X1,25) = 32,81</t>
  </si>
  <si>
    <t>13.380.0010-0</t>
  </si>
  <si>
    <t>Piso de marmorite.</t>
  </si>
  <si>
    <t>RAMPA DE ACESSO (TIRADO DO PROJETO)</t>
  </si>
  <si>
    <t>(3,29(emboço)+1,39(azulejo)+1,04(argamassa de acentam)+4,90(piso)+0,31(piso marmore)+8,08(alvenaria)+0,5(laje)+10,42(gess)+0,96(piso de granito) = 30,89</t>
  </si>
  <si>
    <t>(6,67 +10,15)(per alv.) = 16,82</t>
  </si>
  <si>
    <t>Soco para Área de Serviço</t>
  </si>
  <si>
    <t>Soco para Copa</t>
  </si>
  <si>
    <t>Desconto de Porta</t>
  </si>
  <si>
    <t>12.025.0001-0</t>
  </si>
  <si>
    <t>Parede divisória para sanitários em placa de mármore branco clássico com 3cm de espessura, polido nas duas faces, apoiada no piso e na parede, exclusive fornecimento das ferragens de fixaçãodo mármore, portas e suas ferragens (vide itens 14.007.0085 e 14.007.0200). FORNECIMENTO e COLOCAÇÃO</t>
  </si>
  <si>
    <t>Sanitário Masculino e Feminino</t>
  </si>
  <si>
    <t>13.003.0005-0</t>
  </si>
  <si>
    <t>Revestimento externo (pronto) em massa única com argamassa de cimento e areia termotratada com espessura de 3cm, inclusive chapisco de cimento e areia traço 1:3, com espessura de 9mm</t>
  </si>
  <si>
    <t>Arremate da Porta - Sala 05</t>
  </si>
  <si>
    <t>Perímetro = (2 x 2,10 + 1,80) = 6,00m</t>
  </si>
  <si>
    <t>14.003.0226-0</t>
  </si>
  <si>
    <t>Porta de alumínio anodizado em bronze ou preto, perfil série 25, em veneziana, exclusive fechadura. FORNECIMENTO e COLOCAÇÃO</t>
  </si>
  <si>
    <t>Área de Serviço</t>
  </si>
  <si>
    <t>Sanitário - Sala 06</t>
  </si>
  <si>
    <t>Sanitário - Sala 13</t>
  </si>
  <si>
    <t>15.004.0125-0</t>
  </si>
  <si>
    <t>Instalação e assentamento de um vaso sanitário e válvula de descarga (exclusive estes) em pavimento elevado, parte de um conjunto de dois ou mais vasos, compreendendo: instalação hidráulica com 1,50m de tubo de PVC de 50mm, com conexões, até a válvula de descarga e após esta até o vaso, ligação de esgoto com 2,00m de tubo de PVC de 100mm, aos tubos de queda e ventilação, inclusive conexões, exclusive os tubos de queda e ventilação</t>
  </si>
  <si>
    <t>Banheiro Masculino / Feminino</t>
  </si>
  <si>
    <t>15.004.0150-0</t>
  </si>
  <si>
    <t>Instalação e assentamento de um lavatório ou aparelho de instalação semelhante, em bateria (exclusive fornecimento do aparelho), compreendendo: 1,00m de tubo de PVC de 32mm e 0,60m de tubo de PVC de 25mm, com conexões e esgotamento em PVC de 40mm, até o ralo sifonado</t>
  </si>
  <si>
    <t>15.003.0379-0</t>
  </si>
  <si>
    <t>Assentamento de torneira (exclusive fornecimento do aparelho), inclusive materiais necessários</t>
  </si>
  <si>
    <t>Cobetura da Circulação no 1º Pavimento</t>
  </si>
  <si>
    <t>(9,80+9,8+5,6+5,60) = 30,80m</t>
  </si>
  <si>
    <t>Contorno do prisma</t>
  </si>
  <si>
    <t>ÁREA MOLHADA + ÁREA SECA (PAREDES E TETOS)</t>
  </si>
  <si>
    <t>Repintura com tinta látex semibrilhante, fosca, ou acetinada, classificação premium ou standard (NBR 15079), para interior e exterior, sobre superfície em bom estado e na cor existente, inclusive limpeza, leve lixamento com lixa fina, uma demão de selador e uma de acabamento</t>
  </si>
  <si>
    <t>DESCONTO DE ÁREA DE SUPERFÍCIE NOVA (ÁREA DE REBOCO)</t>
  </si>
  <si>
    <t>AUDITÓRIO</t>
  </si>
  <si>
    <t>17.020.0060-0</t>
  </si>
  <si>
    <t>Envernizamento de rodapé de madeira com verniz tipo copal brilhante, inclusive lixamento, uma demão de verniz imunizante e impermeabilizante incolor, anilina e duas demãos de acabamento</t>
  </si>
  <si>
    <t>ÁREA DE SUPERFÍCIE NOVA (ÁREA DE REBOCO)</t>
  </si>
  <si>
    <t>18.016.0025-0</t>
  </si>
  <si>
    <t>Tanque de aço inoxidável, em chapa 22.304 de 520 x 520mm, capacidade de 30L, com esfregador, exclusive torneira. FORNECIMENTO</t>
  </si>
  <si>
    <t>18.084.0050-0</t>
  </si>
  <si>
    <t>Banca de granito branco itaúnas, com 3cm de espessura, com abertura para 1 cuba (exclusive esta), sobre apoios de alvenaria de meia vez e verga de concreto, sem revestimento. FORNECIMENTO e COLOCAÇÃO</t>
  </si>
  <si>
    <t>Sanitário - Sala 06 (Retirado do Projeto)</t>
  </si>
  <si>
    <t>18.081.0105-0</t>
  </si>
  <si>
    <t>Frontispício de granito cinza corumbá, com seção de 10 x 2cm, inclusive rejuntamento. FORNECIMENTO e COLOCAÇÃO</t>
  </si>
  <si>
    <t>18.070.0005-0</t>
  </si>
  <si>
    <t>Prateleira de mármore branco clássico, com 30cm de largura e 2cm de espessura, sobre consolo de ferro. FORNECIMENTO e COLOCAÇÃO</t>
  </si>
  <si>
    <t>18.002.0027-0</t>
  </si>
  <si>
    <t>Lavatório de louça branca de embutir (cuba), tipo médio luxo, com ladrão, com medidas em torno de 52 x 39cm. Ferragens em metal cromado: sifão 1680 1” x 1.1/4”, torneira de pressão 1193 de 1/2” e válvula de escoamento 1603. Rabicho em PVC. FORNECIMENTO</t>
  </si>
  <si>
    <t>18.016.0040-0</t>
  </si>
  <si>
    <t>Cuba de aço inoxidável de 500 x 400 x 200mm, em chapa 20.304, válvula de escoamento tipo americana 1623, sifão 1680 1.1/2” x 1.1/2”, exclusive torneira. FORNECIMENTO e COLOCAÇÃO</t>
  </si>
  <si>
    <t>18.009.0066-0</t>
  </si>
  <si>
    <t>Torneira para pia, com arejador, tubo móvel, tipo banca, 1167 de 1/2” x 17cm aproximadamente, em metal cromado. FORNECIMENTO</t>
  </si>
  <si>
    <t>LAVATÓRIO LOUÇA BRANCA COM COLUNA, 45 X 55CM OU EQUIVALENTE, PADRÃO MÉ UN CR 282,18
DIO - FORNECIMENTO E INSTALAÇÃO. AF_12/2013</t>
  </si>
  <si>
    <r>
      <t>Lavatório de louça branca, com coluna suspensa, para pessoas com necessidades específicas, com medidas em torno de 45,5 x 35,5cm,</t>
    </r>
    <r>
      <rPr>
        <b/>
        <sz val="9"/>
        <color rgb="FF000000"/>
        <rFont val="Arial"/>
        <family val="2"/>
      </rPr>
      <t xml:space="preserve"> inclusive</t>
    </r>
    <r>
      <rPr>
        <sz val="9"/>
        <color rgb="FF000000"/>
        <rFont val="Arial"/>
        <family val="2"/>
      </rPr>
      <t xml:space="preserve"> sifão em PVC flexível, válvula de escoamento cromada, rabicho em PVC e torneira de fechamento automático</t>
    </r>
  </si>
  <si>
    <t>Barra de apoio, para pessoas com necessidades específicas, em tubo de 1.1/2” em aço inoxidável, com 80cm. FORNECIMENTO e COLOCAÇÃO</t>
  </si>
  <si>
    <t>18.084.0051-0</t>
  </si>
  <si>
    <t>Banca de granito branco itaúnas, com 3cm de espessura, com abertura para 2 cuba (exclusive esta), sobre apoios de alvenaria de meia vez e verga de concreto, sem revestimento. FORNECIMENTO e COLOCAÇÃO</t>
  </si>
  <si>
    <t>(4,85 + 2,45) = 7,30m</t>
  </si>
  <si>
    <t>(0,85 + 0,55 + 3,55 + 0,55 + 0,55 + 3,55 + 0,55 + 0,55 + 3,55) = 14,25m</t>
  </si>
  <si>
    <t>(2,05 + 0,55 + 0,55 + 3,55 + 0,55 + 1,85 + 0,55 + 3,55 + 0,55 + 1,85 + 0,55 + 3,55) = 19,70m</t>
  </si>
  <si>
    <t>(2,05 + 0,55 + 0,55 + 3,55 + 0,55 + 0,65 + 0,55 + 3,55 + 0,55 + 0,65 + 0,55 + 3,55 + 2,05 + 0,55 + 1,55) = 21,45m</t>
  </si>
  <si>
    <t>RETIRADO DO PROJETO</t>
  </si>
  <si>
    <t>TRAPÉZIO DO PALCO (RETIRADO DO PROJETO)</t>
  </si>
  <si>
    <t>TRIÂNGULO DO CORREDOR (RETIRADO DO PROJETO)</t>
  </si>
  <si>
    <t>7.4</t>
  </si>
  <si>
    <t>8.9</t>
  </si>
  <si>
    <t>8.12</t>
  </si>
  <si>
    <t>Perímetro = (1,30 x 2 + 2,30 x 2) = 7,20m</t>
  </si>
  <si>
    <t>Desconto da Porta</t>
  </si>
  <si>
    <t>Perímetro = (1,17 x 2 + 1,98 + 1,93) = 6,25m</t>
  </si>
  <si>
    <t>Perímetro = (1,53 x 2 + 2,02 + 1,98) = 7,06m</t>
  </si>
  <si>
    <t>Perímetro = (1,15 x 2 + 1,35 + 1,40) = 5,05m</t>
  </si>
  <si>
    <t>Perímetro = 2,18 + 0,55 = 2,73m</t>
  </si>
  <si>
    <t>Sanitário  - Sala 13</t>
  </si>
  <si>
    <t>Perímetro = (1,80 x 2 + 1,30 x 2) = 6,20m</t>
  </si>
  <si>
    <t>Sanitário Feminino / Masculino</t>
  </si>
  <si>
    <t>Perímetro = (2,85 x 2 + 1,85 x 2) = 9,40m</t>
  </si>
  <si>
    <t>Perímetro = 2,00 + 0,55 = 2,55m</t>
  </si>
  <si>
    <t>REVESTIMENTO CERÂMICO PARA PAREDES INTERNAS COM PLACAS TIPO ESMALTADA EXTRA DE DIMENSÕES 20X20 CM APLICADAS EM AMBIENTES DE ÁREA MENOR QUE 5 M² A MEIA ALTURA DAS PAREDES.</t>
  </si>
  <si>
    <t>Salão 01</t>
  </si>
  <si>
    <t>Subsolo (Retirado do Projeto)</t>
  </si>
  <si>
    <t>Circulação da Escada</t>
  </si>
  <si>
    <t>Sala 01</t>
  </si>
  <si>
    <t>Salão 02 / Circulação</t>
  </si>
  <si>
    <t>Sala 06</t>
  </si>
  <si>
    <t>Circulação</t>
  </si>
  <si>
    <t>Salão 03</t>
  </si>
  <si>
    <t>13.398.0030-0</t>
  </si>
  <si>
    <t>Rodapé de ipê ou madeira equivalente de 10 x 2cm acabamento boleado, pregado em tacos embutidos na alvenaria</t>
  </si>
  <si>
    <t>PREÇO UNIT. S/ BDI</t>
  </si>
  <si>
    <t>PREÇO UNIT. C/ BDI</t>
  </si>
  <si>
    <t>PREÇO TOTAL S/ BDI</t>
  </si>
  <si>
    <t>PREÇO TOTAL C/ BDI</t>
  </si>
  <si>
    <t>COMPOSIÇÃO ANALÍTICA DE LDI OU BDI</t>
  </si>
  <si>
    <t xml:space="preserve">Nº do Contrato de Repasse: </t>
  </si>
  <si>
    <t xml:space="preserve">Proponente: </t>
  </si>
  <si>
    <t xml:space="preserve">Empreendimento: </t>
  </si>
  <si>
    <t>Elaboração de projeto básico de engenharia para aproveitamento hidro-agrícola, com sistema de abastecimento de água bruta, em benefício de comunidades rurais localizadas no entorno da região do Baixio de Poço do Magro e adjacências, no município de Guanambi, no Estado da Bahia.</t>
  </si>
  <si>
    <t>Tipo de Obra:</t>
  </si>
  <si>
    <t>Fornecimento de Materiais e Equipamentos</t>
  </si>
  <si>
    <t>Base de Cálculo do ISS da Prefeitura:</t>
  </si>
  <si>
    <t>Orçamento Desonerado? (Sim ou Não)</t>
  </si>
  <si>
    <t>sim</t>
  </si>
  <si>
    <t>DESCRIÇÃO</t>
  </si>
  <si>
    <t>VALORES DE REFERÊNCIA - %</t>
  </si>
  <si>
    <t>BDI ADOTADO - %</t>
  </si>
  <si>
    <t>(1° Quartil)</t>
  </si>
  <si>
    <t>MÉDIA</t>
  </si>
  <si>
    <t>(3° Quartil)</t>
  </si>
  <si>
    <t>Administração Central</t>
  </si>
  <si>
    <t>Seguros e Garantias (*)</t>
  </si>
  <si>
    <t>Riscos</t>
  </si>
  <si>
    <t>Despesas Financeiras</t>
  </si>
  <si>
    <t>Lucro</t>
  </si>
  <si>
    <t>COFINS</t>
  </si>
  <si>
    <t>PIS</t>
  </si>
  <si>
    <t>ISS (**)</t>
  </si>
  <si>
    <t>LIMITE BDI C/ DESONERAÇÃO</t>
  </si>
  <si>
    <t>LIMITE BDI S/ DESONERAÇÃO</t>
  </si>
  <si>
    <t>Fonte da composição, valores de referência e fórmula do BDI:  Acórdão 2622/2013-TCU-Plenário</t>
  </si>
  <si>
    <t>Desoneração: Lei n°13.161/2015</t>
  </si>
  <si>
    <t>Verificação do  BDI:</t>
  </si>
  <si>
    <t>BDI S/ DESN</t>
  </si>
  <si>
    <t>BDI C/ DESN</t>
  </si>
  <si>
    <t>Os valores de BDI acima foram calculados com emprego da fórmula abaixo:</t>
  </si>
  <si>
    <t>Onde:</t>
  </si>
  <si>
    <t>AC = taxa de rateio da Administração Central;</t>
  </si>
  <si>
    <t>DF = taxa das despesas financeiras;</t>
  </si>
  <si>
    <t>R, S, G = taxa de risco, seguro e garantia do empreendimento;</t>
  </si>
  <si>
    <t>I = taxa de tributos (Onerado: I = COFINS+PIS+ISS / Desonerado: I = COFINS+PIS+ISS+CPRB);</t>
  </si>
  <si>
    <t>L = taxa de lucro.</t>
  </si>
  <si>
    <t xml:space="preserve">Profissional: </t>
  </si>
  <si>
    <t>Resp. Tomador:</t>
  </si>
  <si>
    <t xml:space="preserve">CREA/CAU: </t>
  </si>
  <si>
    <t>Cargo:</t>
  </si>
  <si>
    <t>Sigla S/N</t>
  </si>
  <si>
    <t>SIM</t>
  </si>
  <si>
    <t>NÃO</t>
  </si>
  <si>
    <t>AC</t>
  </si>
  <si>
    <t>SG</t>
  </si>
  <si>
    <t>R</t>
  </si>
  <si>
    <t>DF</t>
  </si>
  <si>
    <t>L</t>
  </si>
  <si>
    <t>ISS</t>
  </si>
  <si>
    <t>DESON.</t>
  </si>
  <si>
    <t>LIMITE BDI</t>
  </si>
  <si>
    <t>Sigla Obras</t>
  </si>
  <si>
    <t>MÍN</t>
  </si>
  <si>
    <t>MED</t>
  </si>
  <si>
    <t>MAX</t>
  </si>
  <si>
    <t>Construção de Edifícios e Reformas (Quadras, unidades habitacionais, escolas, restaurantes, etc)</t>
  </si>
  <si>
    <t>Construção de Praças</t>
  </si>
  <si>
    <t>Construção de Rodovias (Pavimentação Urbana)</t>
  </si>
  <si>
    <t>Construção de Ferrovias</t>
  </si>
  <si>
    <t>Construção de Redes de Abastecimento de Água, Coleta de Esgoto e Construções Correlatas</t>
  </si>
  <si>
    <t>Construção e Manutenção de Estações e Redes de Distribuição de Energia Elétrica</t>
  </si>
  <si>
    <t>Portuárias, Marítimas e Fluviais</t>
  </si>
  <si>
    <t>9.3</t>
  </si>
  <si>
    <t>14.004.0120-A</t>
  </si>
  <si>
    <t>Vidro temperado incolor, com 10mm de espessura</t>
  </si>
  <si>
    <t>15.018.0512-A</t>
  </si>
  <si>
    <t>ELETROCALHA PERFURADA, COM TAMPA TIPO "U", 300X100MM, TRATAMENTO SUPERFICIAL PRE-ZINCADO A QUENTE, INCLUSIVE CONEXOES, ACESSORIOS E FIXACAO SUPERIOR. FORNECIMENTO E COLOCACAO</t>
  </si>
  <si>
    <t>M</t>
  </si>
  <si>
    <t>15.018.0498-A</t>
  </si>
  <si>
    <t>ELETROCALHA PERFURADA, COM TAMPA, TIPO "U", 50X50MM, TRATAMENTO SUPERFICIAL PRE-ZINCADO A QUENTE, INCLUSIVE CONEXOES ,ACESSORIOS E FIXACAO SUPERIOR. FORNECIMENTO E COLOCACAO</t>
  </si>
  <si>
    <t>15.018.0175-A</t>
  </si>
  <si>
    <t>CANALETA PERFURADA ALTA (PERFILADOS), MEDINDO (38X38)MM PRE-GALVANIZADA, INCLUSIVE SUPORTE E CONEXOES. FORNECIMENTO E COLOCACAO</t>
  </si>
  <si>
    <t>15.019.0050-A</t>
  </si>
  <si>
    <t>TOMADA ELETRICA 2P+T, 10A/250V, PADRAO BRASILEIRO, DE EMBUTIR, COM PLACA 4"X2". FORNECIMENTO E COLOCACAO.</t>
  </si>
  <si>
    <t>UN</t>
  </si>
  <si>
    <t>18.027.0520-A</t>
  </si>
  <si>
    <t>LUMINARIA LED TUBULAR DE EMBUTIR, 2X18W (INCLUSIVE LAMPADAS), CORPO EM CHAPA DE ACO TRATADA E PINTURA ELETROSTATICA BRANCA, REFLETOR EM ALUMINIO DE ALTO BRILHO, COM VISOR ACRILICO TRANSLUCIDO, SEM REATOR. FORNECIMENTO E COLOCACAO</t>
  </si>
  <si>
    <t>18.027.0496-A</t>
  </si>
  <si>
    <t>LUMINARIA LED TUBULAR DE SOBREPOR, 2X18W (INCLUSIVE LAMPADAS),CORPO EM CHAPA DE ACO TRATADA E PINTURA ELETROSTATICA BRANCA, REFLETOR EM ALUMINIO DE ALTO BRILHO, COM VISOR ACRILICOTRANSLUCIDO, SEM REATOR. FORNECIMENTO E COLOCACAO</t>
  </si>
  <si>
    <t>18.027.0490-A</t>
  </si>
  <si>
    <t>LUMINARIA LED TUBULAR DE SOBREPOR, 2X9W (INCLUSIVE LAMPADAS),CORPO EM CHAPA DE ACO TRATADA E PINTURA ELETROSTATICA BRANCA, REFLETOR EM ALUMINIO DE ALTO BRILHO, COM VISOR ACRILICO TRANSLUCIDO, SEM REATOR. FORNECIMENTO E COLOCACAO</t>
  </si>
  <si>
    <t>15.007.0507-A</t>
  </si>
  <si>
    <t>QUADRO DE DISTRIBUICAO DE ENERGIA,100A,PARA DISJUNTORES TERMO-MAGNETICOS UNIPOLARES,DE EMBUTIR,COM PORTA E BARRAMENTOS DE FASE,NEUTRO E TERRA,TRIFASICO,PARA INSTALACAO DE ATE 24 DISJUNTORES COM DISPOSITIVO PARA CHAVE GERAL.FORNECIMENTO E COLOCACAO</t>
  </si>
  <si>
    <t>15.019.0020-A</t>
  </si>
  <si>
    <t>INTERRUPTOR DE EMBUTIR COM 1 TECLA SIMPLES FOSFORESCENTE E PLACA. FORNECIMENTO E COLOCACAO</t>
  </si>
  <si>
    <t>15.019.0030-A</t>
  </si>
  <si>
    <t>INTERRUPTOR DE EMBUTIR COM 3 TECLAS SIMPLES FOSFORESCENTES E PLACA. FORNECIMENTO E COLOCACAO</t>
  </si>
  <si>
    <t>15.019.0025-A</t>
  </si>
  <si>
    <t>INTERRUPTOR DE EMBUTIR COM 2 TECLAS SIMPLES FOSFORESCENTES E PLACA. FORNECIMENTO E COLOCACAO</t>
  </si>
  <si>
    <t>15.019.0035-A</t>
  </si>
  <si>
    <t>INTERRUPTOR THREE-WAY DE EMBUTIR COM TECLA FOSFORESCENTE, INCLUSIVE PLACA. FORNECIMENTO E COLOCACAO</t>
  </si>
  <si>
    <t>15.007.0570-A</t>
  </si>
  <si>
    <t>DISJUNTOR TERMOMAGNETICO UNIPOLAR, DE 16AX250V. FORNECIMENTO E COLOCACAO</t>
  </si>
  <si>
    <t>DISJUNTOR TERMOMAGNETICO UNIPOLAR, DE 25AX250V. FORNECIMENTO E COLOCACAO</t>
  </si>
  <si>
    <t>15.007.0605-A</t>
  </si>
  <si>
    <t>DISJUNTOR TERMOMAGNETICO, TRIPOLAR, DE 63AX250V. FORNECIMENTO E COLOCACAO</t>
  </si>
  <si>
    <t>DISJUNTOR TERMOMAGNETICO UNIPOLAR, DE 10AX250V. FORNECIMENTO E COLOCACAO</t>
  </si>
  <si>
    <t>DISJUNTOR TERMOMAGNETICO UNIPOLAR, DE 20AX250V. FORNECIMENTO E COLOCACAO</t>
  </si>
  <si>
    <t>15.007.0575-A</t>
  </si>
  <si>
    <t>DISJUNTOR TERMOMAGNETICO, BIPOLAR, DE 16AX250V. FORNECIMENTO E COLOCACAO</t>
  </si>
  <si>
    <t>DISJUNTOR TERMOMAGNETICO, BIPOLAR, DE 10AX250V. FORNECIMENTO E COLOCACAO</t>
  </si>
  <si>
    <t>DISJUNTOR TERMOMAGNETICO, BIPOLAR, DE 20AX250V. FORNECIMENTO E COLOCACAO</t>
  </si>
  <si>
    <t>DISJUNTOR TERMOMAGNETICO, TRIPOLAR, DE 70AX250V. FORNECIMENTO E COLOCACAO</t>
  </si>
  <si>
    <t>DISJUNTOR TERMOMAGNETICO, TRIPOLAR, DE 100AX250V. FORNECIMENTO E COLOCACAO</t>
  </si>
  <si>
    <t>15.008.0135-A</t>
  </si>
  <si>
    <t>CABO DE COBRE FLEXIVEL COM ISOLAMENTO TERMOPLASTICO, COMPREENDENDO: PREPARO, CORTE E ENFIACAO EM ELETRODUTOS, NA BITOLA DE 150MM2, 450/750V. FORNECIMENTO E COLOCACAO (VERDE)</t>
  </si>
  <si>
    <t>15.007.0204-A</t>
  </si>
  <si>
    <t>HASTE PARA ATERRAMENTO, DE COBRE DE 3/4" (19MM), COM 3,00M DE COMPRIMENTO. FORNECIMENTO E COLOCACAO</t>
  </si>
  <si>
    <t>15.017.0230-A</t>
  </si>
  <si>
    <t>CONECTOR FABRICADO EM BRONZE PARA ATERRAMENTO, PARA FIXACAO DE UM OU DOIS CONDUTORES A SUPERFICIE PLANA, PARA CABOS COM BITOLAS DE 6 A 35MM2. FORNECIMENTO E COLOCACAO</t>
  </si>
  <si>
    <t>15.001.0028-A</t>
  </si>
  <si>
    <t>CAIXA DE ALVENARIA EM TIJOLOS MACICOS (7X10X20CM), EM PAREDES DE MEIA VEZ, COM DIMENSOES DE 0,60X0,60X0,40M, ASSENTADA COM ARGAMASSA DE CIMENTO E AREIA, NO TRACO 1:4, REVESTIDA INTERNAMENTE COM A MESMA ARGAMASSA, COM FUNDO DE CONCRETO E TAMPA DE CONCRETO ARMADO</t>
  </si>
  <si>
    <t>15.018.0133-A</t>
  </si>
  <si>
    <t>CAIXA DE ATERRAMENTO, EM PVC, MEDINDO APROXIMADAMENTE 25X25CM. FORNECIMENTO E COLOCACAO</t>
  </si>
  <si>
    <t>15.045.0110-A</t>
  </si>
  <si>
    <t>ABERTURA E FECHAMENTO MANUAL DE RASGO EM ALVENARIA, PARA PASSAGEM DE  TUBOS E DUTOS, COM DIAMETRO DE 1/2" A 1"</t>
  </si>
  <si>
    <t>05.105.0013-A</t>
  </si>
  <si>
    <t>MAO-DE-OBRA DE ELETRICISTA,INCLUSIVE ENCARGOS SOCIAIS</t>
  </si>
  <si>
    <t>H</t>
  </si>
  <si>
    <t>05.105.0016-A</t>
  </si>
  <si>
    <t>MAO-DE-OBRA DE AJUDANTE,INCLUSIVE ENCARGOS SOCIAIS</t>
  </si>
  <si>
    <t>QGBT C/ BARRAMENTO 450A P/ 7 DISJUNTORES TRIPOLAR E GERAL DE 400A TRIPOLAR</t>
  </si>
  <si>
    <t>03.001.0001-B</t>
  </si>
  <si>
    <t>ESCAVACAO MANUAL DE VALA/CAVA EM MATERIAL DE 1ª CATEGORIA (A(AREIA,ARGILA OU PICARRA),ATE 1,50M DE PROFUNDIDADE,EXCLUSIVE ESCORAMENTO E ESGOTAMENTO</t>
  </si>
  <si>
    <t>M3</t>
  </si>
  <si>
    <t>QGBT C/ BARRAMENTO DE 400A P/ CHAVE GERAL E 5 DISJUNTORES (VIDE MEMORIAL DESCRITIVO)</t>
  </si>
  <si>
    <t>21.003.0052-A</t>
  </si>
  <si>
    <t>POSTE DE ACO,RETO,CONICO CONTINUO,ALTURA DE 3,50M,SEM SAPATA.FORNECIMENTO</t>
  </si>
  <si>
    <t>21.001.0160-A</t>
  </si>
  <si>
    <t>ASSENTAMENTO DE POSTE RETO, DE ACO DE 3,50 ATE 6,00M, COM FLANGE DE ACO SOLDADO NA SUA BASE, FIXADO POR PARAFUSOS CHUMBADORES ENGASTADOS EM FUNDACAO DE CONCRETO, EXCLUSIVE FUNDACAO E FORNECIMENTO DO POSTE CONCRETO, EXCLUSIVE FUNDACAO E FORNECIMENTO DO POSTE</t>
  </si>
  <si>
    <t>18.260.0046-A</t>
  </si>
  <si>
    <t>BRACO PARA ILUMINACAO DE RUAS,EM TUBO DE ACO GALVANIZADO COMDIAMETRO DE=60,3MM,PARA FIXACAO EM POSTE OU PAREDE,PROJECAOHORIZONTAL=2530MM,PROJECAO VERTICAL=2180MM.FORNECIMENTO E COLOCACAO</t>
  </si>
  <si>
    <t>LUMINARIA PUBLICA DE LED DE 40W 5700K, BRAÇO AJUSTAVEL, BASE RELE IP66 120-127V 50/60HZ, CORPO DE ALUMINIO C/ SUPORTE DE FIXAÇAO EM BRAÇO DE 42 A 60,3MM</t>
  </si>
  <si>
    <t>15.037.0013-A</t>
  </si>
  <si>
    <t>CONDUITE FLEXIVEL,GALVANIZADO,COM DIAMETRO DE 1.1/4",EXCLUSIVE EMENDAS.FORNECIMENTO E ASSENTAMENTO</t>
  </si>
  <si>
    <t>CAIXA RETANGULAR 4" X 2"  - FORNECIMENTO E INSTALAÇÃO. AF_12/2015</t>
  </si>
  <si>
    <t>15.037.0011-A</t>
  </si>
  <si>
    <t>CONDUITE FLEXIVEL,GALVANIZADO,COM DIAMETRO DE 3/4",EXCLUSIVEEMENDAS.FORNECIMENTO E ASSENTAMENTO</t>
  </si>
  <si>
    <t>15.008.0085-A</t>
  </si>
  <si>
    <t>CABO DE COBRE FLEXIVEL COM ISOLAMENTO TERMOPLASTICO,COMPREENDENDO:PREPARO,CORTE E ENFIACAO EM ELETRODUTOS,NA BITOLA DE 2,5MM2, 450/750V.FORNECIMENTO E  COLOCACAO</t>
  </si>
  <si>
    <t>15.008.0090-A</t>
  </si>
  <si>
    <t>CABO DE COBRE FLEXIVEL COM ISOLAMENTO TERMOPLASTICO,COMPREENDENDO:PREPARO,CORTE E ENFIACAO EM ELETRODUTOS NA BITOLA DE 4MM2, 450/750V.FORNECIMENTO E COLOCACAO</t>
  </si>
  <si>
    <t>15.007.0518-A</t>
  </si>
  <si>
    <t>QUADRO DE DISTRIBUICAO DE ENERGIA,150A,PARA DISJUNTORES TERMO-MAGNETICOS UNIPOLARES,DE EMBUTIR,COM PORTA E BARRAMENTOS DE FASE,NEUTRO E TERRA,TRIFASICO,PARA INSTALACAO DE ATE 70 DISJUNTORES COM DISPOSITIVO PARA CHAVE GERAL.FORNECIMENTO E COLOCACAO</t>
  </si>
  <si>
    <t>CABO DE COBRE FLEXIVEL COM ISOLAMENTO TERMOPLASTICO, COMPREENDENDO: PREPARO, CORTE E ENFIACAO EM ELETRODUTOS, NA BITOLA DE 150MM2, 450/750V. FORNECIMENTO E COLOCACAO (PRETO)</t>
  </si>
  <si>
    <t>CABO DE COBRE FLEXIVEL COM ISOLAMENTO TERMOPLASTICO, COMPREENDENDO: PREPARO, CORTE E ENFIACAO EM ELETRODUTOS, NA BITOLA DE 150MM2, 450/750V. FORNECIMENTO E COLOCACAO (AZUL)</t>
  </si>
  <si>
    <t>15.008.0125-A</t>
  </si>
  <si>
    <t>CABO DE COBRE FLEXIVEL COM ISOLAMENTO TERMOPLASTICO,COMPREENDENDO:PREPARO,CORTE E ENFIACAO EM ELETRODUTOS,NA BITOLA DE 95MM2, 450/750V.FORNECIMENTO E COLOCACAO (VERDE)</t>
  </si>
  <si>
    <t>15.008.0112-A</t>
  </si>
  <si>
    <t>CABO DE COBRE FLEXIVEL COM ISOLAMENTO TERMOPLASTICO,COMPREENDENDO:PREPARO,CORTE E ENFIACAO EM ELETRODUTOS,NA BITOLA DE 35MM2, 450/750V.FORNECIMENTO E COLOCACAO (PRETO)</t>
  </si>
  <si>
    <t>CABO DE COBRE FLEXIVEL COM ISOLAMENTO TERMOPLASTICO,COMPREENDENDO:PREPARO,CORTE E ENFIACAO EM ELETRODUTOS,NA BITOLA DE 35MM2, 450/750V.FORNECIMENTO E COLOCACAO (AZUL)</t>
  </si>
  <si>
    <t>15.008.0105-A</t>
  </si>
  <si>
    <t>CABO DE COBRE FLEXIVEL COM ISOLAMENTO TERMOPLASTICO,COMPREENDENDO:PREPARO,CORTE E ENFIACAO EM ELETRODUTOS,NA BITOLA DE 16MM2, 450/750V.FORNECIMENTO E COLOCACAO (VERDE)</t>
  </si>
  <si>
    <t>CABO DE COBRE FLEXIVEL COM ISOLAMENTO TERMOPLASTICO,COMPREENDENDO:PREPARO,CORTE E ENFIACAO EM ELETRODUTOS,NA BITOLA DE 16MM2, 450/750V.FORNECIMENTO E COLOCACAO (PRETO)</t>
  </si>
  <si>
    <t>CABO DE COBRE FLEXIVEL COM ISOLAMENTO TERMOPLASTICO,COMPREENDENDO:PREPARO,CORTE E ENFIACAO EM ELETRODUTOS,NA BITOLA DE 16MM2, 450/750V.FORNECIMENTO E COLOCACAO (AZUL)</t>
  </si>
  <si>
    <t>15.008.0110-A</t>
  </si>
  <si>
    <t>CABO DE COBRE FLEXIVEL COM ISOLAMENTO TERMOPLASTICO,COMPREENDENDO:PREPARO,CORTE E ENFIACAO EM ELETRODUTOS,NA BITOLA DE 25MM2, 450/750V.FORNECIMENTO E COLOCACAO (PRETO)</t>
  </si>
  <si>
    <t>CABO DE COBRE FLEXIVEL COM ISOLAMENTO TERMOPLASTICO,COMPREENDENDO:PREPARO,CORTE E ENFIACAO EM ELETRODUTOS,NA BITOLA DE 25MM2, 450/750V.FORNECIMENTO E COLOCACAO (AZUL)</t>
  </si>
  <si>
    <t>CABO DE COBRE FLEXIVEL COM ISOLAMENTO TERMOPLASTICO,COMPREENDENDO:PREPARO,CORTE E ENFIACAO EM ELETRODUTOS,NA BITOLA DE 25MM2, 450/750V.FORNECIMENTO E COLOCACAO (VERDE)</t>
  </si>
  <si>
    <t>15.007.0611-A</t>
  </si>
  <si>
    <t>DISJUNTOR TERMOMAGNETICO,TRIPOLAR,DE 300 A 400AX250V.FORNECIMENTO E COLOCACAO</t>
  </si>
  <si>
    <t>15.036.0077-A</t>
  </si>
  <si>
    <t>ELETRODUTO DE PVC RIGIDO ROSQUEAVEL DE 4", INCLUSIVE CONEXOESE EMENDAS, EXCLUSIVE ABERTURA E FECHAMENTO DE RASGO. FORNECIMENTO E ASSENTAMENTO</t>
  </si>
  <si>
    <t>CABINE CSMA600 C/ DISJUNTOR GERAL DE 400A. FORNECIMENTO E INSTALAÇAO (VIDE MEMORIAL DESCRITIVO)</t>
  </si>
  <si>
    <t>15.036.0073-A</t>
  </si>
  <si>
    <t>ELETRODUTO DE PVC RIGIDO ROSQUEAVEL DE 1.1/2", INCLUSIVE CONEXOES E EMENDAS, EXCLUSIVE ABERTURA E FECHAMENTO DE RASGO. FORNECIMENTO E ASSENTAMENTO</t>
  </si>
  <si>
    <t>15.036.0074-A</t>
  </si>
  <si>
    <t>ELETRODUTO DE PVC RIGIDO ROSQUEAVEL DE 2", INCLUSIVE CONEXOESE EMENDAS, EXCLUSIVE ABERTURA E FECHAMENTO DE RASGO. FORNECIMENTO E ASSENTAMENTO</t>
  </si>
  <si>
    <t>15.003.0395-A</t>
  </si>
  <si>
    <t>ABRACADEIRA DE FIXACAO, TIPO COPO, ESTAMPADA EM CHAPA DE FERROZINCADA, COMPOSTA DE CANOPLA, PARAFUSOS E ABRACADEIRAS PROPRIAMENTE DITA, NO DIAMETRO 2". FORNECIMENTO E COLOCACAO</t>
  </si>
  <si>
    <t>15.008.0115-A</t>
  </si>
  <si>
    <t>CABO DE COBRE FLEXIVEL COM ISOLAMENTO TERMOPLASTICO,COMPREENDENDO:PREPARO,CORTE E ENFIACAO EM ELETRODUTOS,NA BITOLA DE 50MM2, 450/750V.FORNECIMENTO E COLOCACAO (PRETO)</t>
  </si>
  <si>
    <t>CABO DE COBRE FLEXIVEL COM ISOLAMENTO TERMOPLASTICO,COMPREENDENDO:PREPARO,CORTE E ENFIACAO EM ELETRODUTOS,NA BITOLA DE 50MM2, 450/750V.FORNECIMENTO E COLOCACAO (AZUL)</t>
  </si>
  <si>
    <t>ELETRICA</t>
  </si>
  <si>
    <t>12.1.1</t>
  </si>
  <si>
    <t>12.1.2</t>
  </si>
  <si>
    <t>12.1.3</t>
  </si>
  <si>
    <t>12.1.4</t>
  </si>
  <si>
    <t>12.1.5</t>
  </si>
  <si>
    <t>12.1.6</t>
  </si>
  <si>
    <t>12.1.7</t>
  </si>
  <si>
    <t>12.1.8</t>
  </si>
  <si>
    <t>12.1.9</t>
  </si>
  <si>
    <t>12.1.10</t>
  </si>
  <si>
    <t>12.1.11</t>
  </si>
  <si>
    <t>12.1.12</t>
  </si>
  <si>
    <t>12.1.13</t>
  </si>
  <si>
    <t>12.1.14</t>
  </si>
  <si>
    <t>12.1.15</t>
  </si>
  <si>
    <t>12.1.16</t>
  </si>
  <si>
    <t>12.1.17</t>
  </si>
  <si>
    <t>12.1.18</t>
  </si>
  <si>
    <t>12.1.19</t>
  </si>
  <si>
    <t>12.1.20</t>
  </si>
  <si>
    <t>12.1.21</t>
  </si>
  <si>
    <t>12.1.22</t>
  </si>
  <si>
    <t>12.1.23</t>
  </si>
  <si>
    <t>12.1.24</t>
  </si>
  <si>
    <t>12.1.25</t>
  </si>
  <si>
    <t>12.1.26</t>
  </si>
  <si>
    <t>12.1.27</t>
  </si>
  <si>
    <t>12.1.28</t>
  </si>
  <si>
    <t>12.1.29</t>
  </si>
  <si>
    <t>12.1.30</t>
  </si>
  <si>
    <t>12.1.31</t>
  </si>
  <si>
    <t>12.1.32</t>
  </si>
  <si>
    <t>12.1.33</t>
  </si>
  <si>
    <t>12.1.34</t>
  </si>
  <si>
    <t>12.1.35</t>
  </si>
  <si>
    <t>12.1.36</t>
  </si>
  <si>
    <t>12.1.37</t>
  </si>
  <si>
    <t>12.1.38</t>
  </si>
  <si>
    <t>12.1.39</t>
  </si>
  <si>
    <t>12.1.40</t>
  </si>
  <si>
    <t>12.1.41</t>
  </si>
  <si>
    <t>12.1.42</t>
  </si>
  <si>
    <t>12.1.43</t>
  </si>
  <si>
    <t>12.1.44</t>
  </si>
  <si>
    <t>12.1.45</t>
  </si>
  <si>
    <t>12.1.46</t>
  </si>
  <si>
    <t>12.1.47</t>
  </si>
  <si>
    <t>12.1.48</t>
  </si>
  <si>
    <t>12.1.49</t>
  </si>
  <si>
    <t>12.1.50</t>
  </si>
  <si>
    <t>12.1.51</t>
  </si>
  <si>
    <t>12.1.52</t>
  </si>
  <si>
    <t>12.1.53</t>
  </si>
  <si>
    <t>12.1.54</t>
  </si>
  <si>
    <t>12.1.55</t>
  </si>
  <si>
    <t>12.1.56</t>
  </si>
  <si>
    <t>12.1.57</t>
  </si>
  <si>
    <t>12.1.58</t>
  </si>
  <si>
    <t>12.1.59</t>
  </si>
  <si>
    <t>12.1.60</t>
  </si>
  <si>
    <t>12.1.61</t>
  </si>
  <si>
    <t>12.1.62</t>
  </si>
  <si>
    <t>LÓGICA</t>
  </si>
  <si>
    <t>CABO ELETRÔNICO CATEGORIA 6, INSTALADO EM EDIFICAÇÃO INSTITUCIONAL - FORNECIMENTO E INSTALAÇÃO. AF_03/2018</t>
  </si>
  <si>
    <t>15.018.0120-A</t>
  </si>
  <si>
    <t>CAIXA DE EMBUTIR,EM PVC,2"X4",INCLUSIVE BUCHAS E ARRUELAS.FORNECIMENTO E COLOCACAO</t>
  </si>
  <si>
    <t>15.019.0070-A</t>
  </si>
  <si>
    <t>ESPELHO PLASTICO 4"X2".FORNECIMENTO E COLOCACAO</t>
  </si>
  <si>
    <t>15.036.0080-A</t>
  </si>
  <si>
    <t>ELETRODUTO DE PVC ESPIRAL CORRUGADO, DIAMETRO DE 1", INCLUSIVE CONEXOES E EMENDAS. FORNECIMENTO E INSTALACAO</t>
  </si>
  <si>
    <t>15.018.0510-A</t>
  </si>
  <si>
    <t>ELETROCALHA PERFURADA, COM TAMPA, TIPO "U", 150X100MM, TRATAMENTO SUPERFICIAL PRE-ZINCADO A QUENTE, INCLUSIVE CONEXOES, ACESSORIOS E FIXACAO SUPERIOR. FORNECIMENTO E COLOCACAO</t>
  </si>
  <si>
    <t>15.018.0499-A</t>
  </si>
  <si>
    <t>ELETROCALHA PERFURADA, COM TAMPA, TIPO "U", 100X50MM, TRATAMENTO SUPERFICIAL PRE-ZINCADO A QUENTE, INCLUSIVE CONEXOES, ACESSORIOS E FIXACAO SUPERIOR. FORNECIMENTO E COLOCACAO</t>
  </si>
  <si>
    <t>15.018.0872-A</t>
  </si>
  <si>
    <t>REDUCAO CONCENTRICA,PARA ELETROCALHA PERFURADA OU LISA,150X50MM.FORNECIMENTO E COLOCACAO</t>
  </si>
  <si>
    <t>15.019.0095-A</t>
  </si>
  <si>
    <t>TOMADA TIPO RJ45,DE EMBUTIR,COMPLETA,PARA LOGICA.FORNECIMENTO E COLOCACAO</t>
  </si>
  <si>
    <t>12.2.1</t>
  </si>
  <si>
    <t>12.2.3</t>
  </si>
  <si>
    <t>12.2.5</t>
  </si>
  <si>
    <t>12.2.6</t>
  </si>
  <si>
    <t>12.2.7</t>
  </si>
  <si>
    <t>12.2.8</t>
  </si>
  <si>
    <t>12.2.9</t>
  </si>
  <si>
    <t>12.2.10</t>
  </si>
  <si>
    <t>Eletrica e logica</t>
  </si>
  <si>
    <t>Eletrica</t>
  </si>
  <si>
    <t>QGBT C/ BARRAMENTO 450A P/ 6 DISJUNTORES TRIPOLAR E GERAL DE 400A TRIPOLAR</t>
  </si>
  <si>
    <t>QGBT C/ BARRAMENTO280A P/ 1 DISJUNTOR GERAL DE 250A E 2 TRIPOLAR DE 125A</t>
  </si>
  <si>
    <t>LUMINARIA LED DE 40W BIVOLT. FORNECIMENTO E COLOCACAO</t>
  </si>
  <si>
    <t>CAIXA RETANGULAR 4" X 2" - FORNECIMENTO E INSTALAÇÃO. AF_12/2015</t>
  </si>
  <si>
    <t>15.007.0517-A</t>
  </si>
  <si>
    <t>QUADRO DE DISTRIBUICAO DE ENERGIA,150A,PARA DISJUNTORES TERMO-MAGNETICOS UNIPOLARES,DE EMBUTIR,COM PORTA E BARRAMENTOS DE FASE,NEUTRO E TERRA,TRIFASICO,PARA INSTALACAO DE ATE 50 DISJUNTORES COM DISPOSITIVO PARA CHAVE GERAL.FORNECIMENTO E COLOCACAO</t>
  </si>
  <si>
    <t>CABO DE COBRE FLEXIVEL COM ISOLAMENTO TERMOPLASTICO,COMPREENDENDO:PREPARO,CORTE E ENFIACAO EM ELETRODUTOS,NA BITOLA DE 50MM2, 450/750V.FORNECIMENTO E COLOCACAO</t>
  </si>
  <si>
    <t>12.1.01</t>
  </si>
  <si>
    <t>12.01.02</t>
  </si>
  <si>
    <t>12.1.03</t>
  </si>
  <si>
    <t>12.1.04</t>
  </si>
  <si>
    <t>12.1.05</t>
  </si>
  <si>
    <t>12.1.06</t>
  </si>
  <si>
    <t>12.1.07</t>
  </si>
  <si>
    <t>12.1.08</t>
  </si>
  <si>
    <t>12.1.09</t>
  </si>
  <si>
    <t>125.1.27</t>
  </si>
  <si>
    <t>Logica</t>
  </si>
  <si>
    <t>12.2.02</t>
  </si>
  <si>
    <t>12.2.03</t>
  </si>
  <si>
    <t>12.2.04</t>
  </si>
  <si>
    <t>12.2.05</t>
  </si>
  <si>
    <t>12.2.06</t>
  </si>
  <si>
    <t>12.2.07</t>
  </si>
  <si>
    <t>12.2.08</t>
  </si>
  <si>
    <t>14.2</t>
  </si>
  <si>
    <t>14.3</t>
  </si>
  <si>
    <t>14.4</t>
  </si>
  <si>
    <t>14.6</t>
  </si>
  <si>
    <t>14.7</t>
  </si>
  <si>
    <t>14.8</t>
  </si>
  <si>
    <t>14.9</t>
  </si>
  <si>
    <t>14.10</t>
  </si>
  <si>
    <t>14.11</t>
  </si>
  <si>
    <t>14.12</t>
  </si>
  <si>
    <t>14.13</t>
  </si>
  <si>
    <t>14.14</t>
  </si>
  <si>
    <t>14.15</t>
  </si>
  <si>
    <t>14.16</t>
  </si>
  <si>
    <t>ELÉTRICA , LOGICA E AR</t>
  </si>
  <si>
    <t>15.005.0201-A</t>
  </si>
  <si>
    <t>INSTALACAO DE INFRA ESTRUTURA PARA ASSENTAMENTO DE AR CONDICIONADO TIPO SPLIT DE 12000 BTU'S,COM 1 CONDENSADOR E 1 EVAPORADOR,(VIDE FORNECIMENTO DO APARELHO NA FAMILIA 18.030)INCLUSIVE ACESSORIOS DE FIXACAO,EXCLUSIVE ALIMENTACAO ELETRICA E INTERLIGACAO AO CONDENSAOR/EVAPORADOR</t>
  </si>
  <si>
    <t xml:space="preserve">UN    </t>
  </si>
  <si>
    <t>15.005.0202-A</t>
  </si>
  <si>
    <t>INSTALACAO DE INFRA ESTRUTURA PARA ASSENTAMENTO DE AR CONDICIONADO TIPO SPLIT DE 18000 BTU'S,COM 1 CONDENSADOR E 1 EVAPORADOR,(VIDE FORNECIMENTO DO APARELHO NA FAMILIA 18.030)INCLUSIVE ACESSORIOS DE FIXACAO,EXCLUSIVE ALIMENTACAO ELETRICA E INTERLIGACAO AO CONDENSAOR/EVAPORADOR</t>
  </si>
  <si>
    <t>15.005.0204-A</t>
  </si>
  <si>
    <t>INSTALACAO DE INFRA ESTRUTURA PARA ASSENTAMENTO DE AR CONDICIONADO TIPO SPLIT DE 24000 BTU'S,COM 1 CONDENSADOR E 1 EVAPORADOR,(VIDE FORNECIMENTO DO APARELHO NA FAMILIA 18.030)INCLUSIVE ACESSORIOS DE FIXACAO,EXCLUSIVE ALIMENTACAO ELETRICA E INTERLIGACAO AO CONDENSAOR/EVAPORADOR</t>
  </si>
  <si>
    <t>15.005.0255-A</t>
  </si>
  <si>
    <t>TUBULACAO EM COBRE PARA INTERLIGACAO DE SPLIT SYSTEM AO CONDENSADOR/EVAPORADOR, INCLUSIVE ISOLAMENTO TERMICO, ALIMENTACAO ELETRICA, CONEXOES E FIXACAO, PARA APARELHOS ATE 48000 BTU'S. FORNECIMENTO  (AR CONDICIONADO)</t>
  </si>
  <si>
    <t>DUTO PARA EXAUTÃO DE AR/VENTILAÇÃO , CHAVETADO EM AÇO GALVANIZA EM DIVERSAS BITOLAS.. FORNECIMENTO E COLOCAÇÃO</t>
  </si>
  <si>
    <t>Kg</t>
  </si>
  <si>
    <t>INSTALACAO DE INFRA ESTRUTURA PARA ASSENTAMENTO DE AR CONDICIONADO TIPO SPLIT DE 60000 BTU'S,COM 1 CONDENSADOR E 1 EVAPORADOR,(VIDE FORNECIMENTO DO APARELHO NA FAMILIA 18.030)INCLUSIVE ACESSORIOS DE FIXACAO,EXCLUSIVE ALIMENTACAO ELETRICA E INTERLIGACAO AO CONDENSAOR/EVAPORADOR</t>
  </si>
  <si>
    <t>15.005.0209-A</t>
  </si>
  <si>
    <t>02.020.0001-A</t>
  </si>
  <si>
    <t>02.002.0005-A</t>
  </si>
  <si>
    <t>05.001.0008-A</t>
  </si>
  <si>
    <t>05.001.0009-A</t>
  </si>
  <si>
    <t>05.001.0014-A</t>
  </si>
  <si>
    <t>05.001.0015-A</t>
  </si>
  <si>
    <t>05.001.0020-A</t>
  </si>
  <si>
    <t>05.001.0023-A</t>
  </si>
  <si>
    <t>05.002.0065-A</t>
  </si>
  <si>
    <t>05.001.0027-A</t>
  </si>
  <si>
    <t>05.001.0055-A</t>
  </si>
  <si>
    <t>05.001.0076-A</t>
  </si>
  <si>
    <t>05.001.0078-A</t>
  </si>
  <si>
    <t>05.001.0084-A</t>
  </si>
  <si>
    <t>05.001.0080-A</t>
  </si>
  <si>
    <t>05.001.0134-A</t>
  </si>
  <si>
    <t>05.001.0145-A</t>
  </si>
  <si>
    <t>05.001.0146-A</t>
  </si>
  <si>
    <t>05.001.0147-A</t>
  </si>
  <si>
    <t>05.006.0001-B</t>
  </si>
  <si>
    <t>04.020.0122-A</t>
  </si>
  <si>
    <t>04.021.0010-A</t>
  </si>
  <si>
    <t>05.005.0012-B</t>
  </si>
  <si>
    <t>05.008.0001-A</t>
  </si>
  <si>
    <t>05.007.0015-A</t>
  </si>
  <si>
    <t>05.008.0004-A</t>
  </si>
  <si>
    <t>05.001.0170-A</t>
  </si>
  <si>
    <t>05.001.0300-A</t>
  </si>
  <si>
    <t>05.001.0450-A</t>
  </si>
  <si>
    <t>11.003.0002-A</t>
  </si>
  <si>
    <t>11.009.0011-A</t>
  </si>
  <si>
    <t>11.011.0027-A</t>
  </si>
  <si>
    <t>11.013.0003-B</t>
  </si>
  <si>
    <t>11.013.0070-B</t>
  </si>
  <si>
    <t>11.004.0053-B</t>
  </si>
  <si>
    <t>12.003.0070-A</t>
  </si>
  <si>
    <t>12.002.0080-A</t>
  </si>
  <si>
    <t>12.016.0004-A</t>
  </si>
  <si>
    <t>12.025.0001-A</t>
  </si>
  <si>
    <t>13.001.0010-B</t>
  </si>
  <si>
    <t>13.001.0041-A</t>
  </si>
  <si>
    <t>13.008.0010-A</t>
  </si>
  <si>
    <t>13.030.0200-A</t>
  </si>
  <si>
    <t>13.003.0005-A</t>
  </si>
  <si>
    <t>13.180.0015-B</t>
  </si>
  <si>
    <t>13.380.0010-A</t>
  </si>
  <si>
    <t>13.330.0075-A</t>
  </si>
  <si>
    <t>13.331.0015-A</t>
  </si>
  <si>
    <t>13.330.0100-A</t>
  </si>
  <si>
    <t>13.331.0050-A</t>
  </si>
  <si>
    <t>13.398.0030-A</t>
  </si>
  <si>
    <t>13.348.0050-A</t>
  </si>
  <si>
    <t>13.348.0070-A</t>
  </si>
  <si>
    <t>13.330.0022-A</t>
  </si>
  <si>
    <t>13.365.0075-A</t>
  </si>
  <si>
    <t>14.003.0062-A</t>
  </si>
  <si>
    <t>14.003.0226-A</t>
  </si>
  <si>
    <t>15.004.0175-B</t>
  </si>
  <si>
    <t>15.004.0176-A</t>
  </si>
  <si>
    <t>15.004.0180-A</t>
  </si>
  <si>
    <t>15.003.0370-A</t>
  </si>
  <si>
    <t>15.004.0102-B</t>
  </si>
  <si>
    <t>15.004.0125-A</t>
  </si>
  <si>
    <t>15.004.0063-A</t>
  </si>
  <si>
    <t>15.004.0060-B</t>
  </si>
  <si>
    <t>15.004.0070-A</t>
  </si>
  <si>
    <t>15.004.0150-A</t>
  </si>
  <si>
    <t>15.003.0379-A</t>
  </si>
  <si>
    <t>11.016.0003-A</t>
  </si>
  <si>
    <t>16.011.0030-A</t>
  </si>
  <si>
    <t>16.012.0005-A</t>
  </si>
  <si>
    <t>16.005.0008-A</t>
  </si>
  <si>
    <t>16.020.0001-A</t>
  </si>
  <si>
    <t>12.3</t>
  </si>
  <si>
    <t>AR-CONDICIONADO</t>
  </si>
  <si>
    <t>15.005.0280-A</t>
  </si>
  <si>
    <t>17.018.0117-A</t>
  </si>
  <si>
    <t>17.018.0010-A</t>
  </si>
  <si>
    <t>17.018.0031-A</t>
  </si>
  <si>
    <t>17.017.0320-A</t>
  </si>
  <si>
    <t>17.020.0010-A</t>
  </si>
  <si>
    <t>17.020.0060-A</t>
  </si>
  <si>
    <t>18.016.0025-A</t>
  </si>
  <si>
    <t>18.009.0058-A</t>
  </si>
  <si>
    <t>18.084.0050-A</t>
  </si>
  <si>
    <t>18.081.0105-A</t>
  </si>
  <si>
    <t>18.070.0005-A</t>
  </si>
  <si>
    <t>18.002.0027-A</t>
  </si>
  <si>
    <t>18.002.0085-A</t>
  </si>
  <si>
    <t>18.016.0040-A</t>
  </si>
  <si>
    <t>18.009.0066-A</t>
  </si>
  <si>
    <t>18.002.0014-A</t>
  </si>
  <si>
    <t>18.002.0090-A</t>
  </si>
  <si>
    <t>18.016.0105-A</t>
  </si>
  <si>
    <t>18.016.0106-A</t>
  </si>
  <si>
    <t>18.084.0051-A</t>
  </si>
  <si>
    <t>18.003.0003-A</t>
  </si>
  <si>
    <t>18.040.0010-A</t>
  </si>
  <si>
    <t>BDI = 28,82%</t>
  </si>
  <si>
    <t>14.5</t>
  </si>
  <si>
    <t>Piso de marmorite, compreendendo:
a) Lastro, com 4cm de espessura média, de argamassa de cimento e areia grossa, no traço 1:4;
b) Camada de marmorite, com 1cm de espessura, feita com grana nº 1 de mármore branco nacional e cimento, superfície estucada após a fundição, com 3 polimentos mecânicos, exclusive junta</t>
  </si>
  <si>
    <t>12.3.1</t>
  </si>
  <si>
    <t>12.3.2</t>
  </si>
  <si>
    <t>12.3.3</t>
  </si>
  <si>
    <t>12.3.4</t>
  </si>
  <si>
    <t>12.3.5</t>
  </si>
  <si>
    <t>12.3.6</t>
  </si>
  <si>
    <t>13.026.0010-A</t>
  </si>
  <si>
    <t>Revestimento de paredes com azulejo branco 15 x 15cm, qualidade extra, assentes com nata de cimento comum, tendo juntas corridas com 2mm, rejuntadas com pasta de cimento branco, inclusive chapisco de cimento e areia, no traço 1:3 e emboço com argamassa de cimento, saibro e areia, no traço 1:3:3 com espessura 2,5cm</t>
  </si>
  <si>
    <t>13.024.0018-A</t>
  </si>
  <si>
    <t>Revestimento com pastilhas de vidro, 3 x 3cm, nas cores azul, verde, preto e branco, inclusive chapisco de cimento e areia, no traço 1:3, emboço com argamassa de cimento, saibro e areia, no traço 1:3:3, assentes e rejuntadas com pasta de cimento branco</t>
  </si>
  <si>
    <t>14.007.0266-A</t>
  </si>
  <si>
    <t>Ferragens para portas de abrir, de ferro ou alumínio, constando de fornecimento das peças, exclusive dobradiças:
-Fechadura de cilindro ovalado para montantes estreitos, em latão, acabamento cromado
-Espelho retangular, em latão, acabamento cromado ou roseta circular, em latão, acabamento cromado
-Maçaneta tipo alavanca, em latão, zamak ou aço zincado, acabamento cromado</t>
  </si>
  <si>
    <t>9.4</t>
  </si>
  <si>
    <t>PLANILHA ORÇAMENTÁRIA</t>
  </si>
  <si>
    <t>MEMÓRIA DE CÁLCULO</t>
  </si>
  <si>
    <r>
      <t xml:space="preserve">Local: </t>
    </r>
    <r>
      <rPr>
        <sz val="12"/>
        <color theme="1"/>
        <rFont val="Arial"/>
        <family val="2"/>
      </rPr>
      <t>Rua Dr. Luiz Antonio G. da Silveira, nº 15, Centro, Piraí/RJ.</t>
    </r>
  </si>
  <si>
    <r>
      <t xml:space="preserve">Objeto: </t>
    </r>
    <r>
      <rPr>
        <sz val="12"/>
        <color theme="1"/>
        <rFont val="Arial"/>
        <family val="2"/>
      </rPr>
      <t>Obra de Reforma do Fundo de Previdência Social Municipal de Piraí</t>
    </r>
  </si>
  <si>
    <t>Data Base:</t>
  </si>
  <si>
    <t>DISCRIMINAÇÃO</t>
  </si>
  <si>
    <t>DIAS</t>
  </si>
  <si>
    <t>%</t>
  </si>
  <si>
    <t>TOTAL ACUMULADO</t>
  </si>
  <si>
    <t>% ACUMULADO</t>
  </si>
  <si>
    <t>CRONOGRAMA FÍSICO-FINANCEIRO</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</si>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</sst>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 &quot;#,##0.00"/>
  </numFmts>
  <fonts count="44" x14ac:knownFonts="1">
    <font>
      <sz val="11"/>
      <color theme="1"/>
      <name val="Calibri"/>
      <family val="2"/>
      <scheme val="minor"/>
    </font>
    <font>
      <sz val="10"/>
      <name val="Arial"/>
      <family val="2"/>
    </font>
    <font>
      <sz val="11"/>
      <color theme="1"/>
      <name val="Arial"/>
      <family val="2"/>
    </font>
    <font>
      <b/>
      <sz val="10"/>
      <name val="Arial"/>
      <family val="2"/>
    </font>
    <font>
      <sz val="10"/>
      <color theme="1"/>
      <name val="Arial"/>
      <family val="2"/>
    </font>
    <font>
      <b/>
      <sz val="10"/>
      <color theme="1"/>
      <name val="Arial"/>
      <family val="2"/>
    </font>
    <font>
      <sz val="9"/>
      <color theme="1"/>
      <name val="Arial"/>
      <family val="2"/>
    </font>
    <font>
      <sz val="9"/>
      <color rgb="FF000000"/>
      <name val="Arial"/>
      <family val="2"/>
    </font>
    <font>
      <b/>
      <sz val="9"/>
      <color rgb="FF000000"/>
      <name val="Arial"/>
      <family val="2"/>
    </font>
    <font>
      <b/>
      <sz val="9"/>
      <color theme="1"/>
      <name val="Arial"/>
      <family val="2"/>
    </font>
    <font>
      <sz val="10"/>
      <color rgb="FF000000"/>
      <name val="Arial"/>
      <family val="2"/>
    </font>
    <font>
      <sz val="9"/>
      <name val="Arial"/>
      <family val="2"/>
    </font>
    <font>
      <sz val="12"/>
      <name val="Times New Roman"/>
      <family val="1"/>
    </font>
    <font>
      <sz val="10"/>
      <color indexed="10"/>
      <name val="Times New Roman"/>
      <family val="1"/>
    </font>
    <font>
      <sz val="12"/>
      <color indexed="10"/>
      <name val="Times New Roman"/>
      <family val="1"/>
    </font>
    <font>
      <b/>
      <sz val="12"/>
      <name val="Times New Roman"/>
      <family val="1"/>
    </font>
    <font>
      <b/>
      <sz val="6"/>
      <name val="Times New Roman"/>
      <family val="1"/>
    </font>
    <font>
      <sz val="6"/>
      <name val="Times New Roman"/>
      <family val="1"/>
    </font>
    <font>
      <b/>
      <sz val="10"/>
      <name val="Times New Roman"/>
      <family val="1"/>
    </font>
    <font>
      <sz val="10"/>
      <name val="Times New Roman"/>
      <family val="1"/>
    </font>
    <font>
      <sz val="10"/>
      <color indexed="18"/>
      <name val="Times New Roman"/>
      <family val="1"/>
    </font>
    <font>
      <sz val="10"/>
      <color indexed="55"/>
      <name val="Times New Roman"/>
      <family val="1"/>
    </font>
    <font>
      <sz val="10"/>
      <color indexed="22"/>
      <name val="Times New Roman"/>
      <family val="1"/>
    </font>
    <font>
      <sz val="6"/>
      <color indexed="54"/>
      <name val="Times New Roman"/>
      <family val="1"/>
    </font>
    <font>
      <sz val="6"/>
      <color indexed="22"/>
      <name val="Times New Roman"/>
      <family val="1"/>
    </font>
    <font>
      <sz val="6"/>
      <color indexed="55"/>
      <name val="Times New Roman"/>
      <family val="1"/>
    </font>
    <font>
      <sz val="10"/>
      <color indexed="9"/>
      <name val="Times New Roman"/>
      <family val="1"/>
    </font>
    <font>
      <sz val="11"/>
      <name val="Times New Roman"/>
      <family val="1"/>
    </font>
    <font>
      <u/>
      <sz val="11"/>
      <name val="Times New Roman"/>
      <family val="1"/>
    </font>
    <font>
      <b/>
      <sz val="12"/>
      <color indexed="18"/>
      <name val="Times New Roman"/>
      <family val="1"/>
    </font>
    <font>
      <sz val="6"/>
      <color indexed="18"/>
      <name val="Times New Roman"/>
      <family val="1"/>
    </font>
    <font>
      <i/>
      <sz val="11"/>
      <name val="Times New Roman"/>
      <family val="1"/>
    </font>
    <font>
      <b/>
      <sz val="12"/>
      <color theme="1"/>
      <name val="Arial"/>
      <family val="2"/>
    </font>
    <font>
      <sz val="10"/>
      <name val="Arial"/>
    </font>
    <font>
      <b/>
      <sz val="15"/>
      <color indexed="56"/>
      <name val="Calibri"/>
      <family val="2"/>
    </font>
    <font>
      <b/>
      <sz val="18"/>
      <color indexed="48"/>
      <name val="Cambria"/>
      <family val="2"/>
    </font>
    <font>
      <b/>
      <sz val="9"/>
      <name val="Arial"/>
      <family val="2"/>
    </font>
    <font>
      <sz val="9"/>
      <color indexed="10"/>
      <name val="Arial"/>
      <family val="2"/>
    </font>
    <font>
      <sz val="8"/>
      <name val="Calibri"/>
      <family val="2"/>
      <scheme val="minor"/>
    </font>
    <font>
      <b/>
      <u/>
      <sz val="22"/>
      <color rgb="FF008080"/>
      <name val="Arial"/>
      <family val="2"/>
    </font>
    <font>
      <sz val="12"/>
      <color theme="1"/>
      <name val="Arial"/>
      <family val="2"/>
    </font>
    <font>
      <b/>
      <sz val="14"/>
      <color theme="1"/>
      <name val="Arial"/>
      <family val="2"/>
    </font>
    <font>
      <sz val="11"/>
      <name val="Calibri"/>
      <family val="2"/>
      <scheme val="minor"/>
    </font>
    <font>
      <b/>
      <sz val="11"/>
      <name val="Calibri"/>
      <family val="2"/>
      <scheme val="minor"/>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theme="0" tint="-0.14999847407452621"/>
        <bgColor indexed="64"/>
      </patternFill>
    </fill>
    <fill>
      <patternFill patternType="solid">
        <fgColor indexed="9"/>
        <bgColor indexed="26"/>
      </patternFill>
    </fill>
  </fills>
  <borders count="82">
    <border>
      <left/>
      <right/>
      <top/>
      <bottom/>
      <diagonal/>
    </border>
    <border>
      <left style="thin">
        <color indexed="64"/>
      </left>
      <right style="thin">
        <color indexed="64"/>
      </right>
      <top style="double">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double">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medium">
        <color indexed="64"/>
      </bottom>
      <diagonal/>
    </border>
    <border>
      <left/>
      <right style="medium">
        <color indexed="64"/>
      </right>
      <top/>
      <bottom/>
      <diagonal/>
    </border>
    <border>
      <left style="thin">
        <color auto="1"/>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double">
        <color auto="1"/>
      </left>
      <right style="double">
        <color auto="1"/>
      </right>
      <top style="double">
        <color auto="1"/>
      </top>
      <bottom style="double">
        <color auto="1"/>
      </bottom>
      <diagonal/>
    </border>
    <border>
      <left/>
      <right/>
      <top/>
      <bottom style="thick">
        <color indexed="62"/>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medium">
        <color auto="1"/>
      </left>
      <right style="thin">
        <color auto="1"/>
      </right>
      <top/>
      <bottom/>
      <diagonal/>
    </border>
    <border>
      <left/>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indexed="64"/>
      </right>
      <top style="double">
        <color indexed="64"/>
      </top>
      <bottom style="thin">
        <color indexed="64"/>
      </bottom>
      <diagonal/>
    </border>
    <border>
      <left style="thin">
        <color indexed="64"/>
      </left>
      <right style="medium">
        <color auto="1"/>
      </right>
      <top style="double">
        <color indexed="64"/>
      </top>
      <bottom style="thin">
        <color indexed="64"/>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indexed="8"/>
      </right>
      <top/>
      <bottom/>
      <diagonal/>
    </border>
    <border>
      <left style="medium">
        <color auto="1"/>
      </left>
      <right/>
      <top/>
      <bottom style="thin">
        <color indexed="64"/>
      </bottom>
      <diagonal/>
    </border>
    <border>
      <left style="thin">
        <color indexed="8"/>
      </left>
      <right style="medium">
        <color auto="1"/>
      </right>
      <top/>
      <bottom/>
      <diagonal/>
    </border>
    <border>
      <left style="thin">
        <color indexed="8"/>
      </left>
      <right style="medium">
        <color auto="1"/>
      </right>
      <top/>
      <bottom style="thin">
        <color indexed="64"/>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double">
        <color auto="1"/>
      </right>
      <top style="double">
        <color auto="1"/>
      </top>
      <bottom style="double">
        <color auto="1"/>
      </bottom>
      <diagonal/>
    </border>
    <border>
      <left style="double">
        <color auto="1"/>
      </left>
      <right style="medium">
        <color auto="1"/>
      </right>
      <top style="double">
        <color auto="1"/>
      </top>
      <bottom style="double">
        <color auto="1"/>
      </bottom>
      <diagonal/>
    </border>
    <border>
      <left/>
      <right style="thin">
        <color indexed="8"/>
      </right>
      <top/>
      <bottom style="thin">
        <color indexed="64"/>
      </bottom>
      <diagonal/>
    </border>
    <border>
      <left/>
      <right style="medium">
        <color indexed="64"/>
      </right>
      <top/>
      <bottom style="thin">
        <color indexed="64"/>
      </bottom>
      <diagonal/>
    </border>
    <border>
      <left/>
      <right style="thin">
        <color auto="1"/>
      </right>
      <top/>
      <bottom style="thin">
        <color indexed="64"/>
      </bottom>
      <diagonal/>
    </border>
    <border>
      <left style="medium">
        <color auto="1"/>
      </left>
      <right/>
      <top/>
      <bottom style="double">
        <color auto="1"/>
      </bottom>
      <diagonal/>
    </border>
    <border>
      <left/>
      <right style="medium">
        <color indexed="64"/>
      </right>
      <top/>
      <bottom style="double">
        <color auto="1"/>
      </bottom>
      <diagonal/>
    </border>
    <border>
      <left style="thin">
        <color auto="1"/>
      </left>
      <right style="thin">
        <color auto="1"/>
      </right>
      <top/>
      <bottom style="thin">
        <color indexed="64"/>
      </bottom>
      <diagonal/>
    </border>
    <border>
      <left style="thin">
        <color indexed="8"/>
      </left>
      <right style="thin">
        <color indexed="8"/>
      </right>
      <top/>
      <bottom style="thin">
        <color indexed="64"/>
      </bottom>
      <diagonal/>
    </border>
    <border>
      <left style="thin">
        <color auto="1"/>
      </left>
      <right style="medium">
        <color auto="1"/>
      </right>
      <top/>
      <bottom style="thin">
        <color indexed="64"/>
      </bottom>
      <diagonal/>
    </border>
    <border>
      <left style="medium">
        <color auto="1"/>
      </left>
      <right style="thin">
        <color indexed="8"/>
      </right>
      <top/>
      <bottom style="thin">
        <color indexed="64"/>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indexed="8"/>
      </left>
      <right style="thin">
        <color indexed="8"/>
      </right>
      <top/>
      <bottom style="thin">
        <color indexed="64"/>
      </bottom>
      <diagonal/>
    </border>
    <border>
      <left style="thin">
        <color auto="1"/>
      </left>
      <right/>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medium">
        <color auto="1"/>
      </bottom>
      <diagonal/>
    </border>
  </borders>
  <cellStyleXfs count="5">
    <xf numFmtId="0" fontId="0" fillId="0" borderId="0"/>
    <xf numFmtId="0" fontId="1" fillId="0" borderId="0"/>
    <xf numFmtId="0" fontId="33" fillId="0" borderId="0"/>
    <xf numFmtId="0" fontId="34" fillId="0" borderId="38" applyNumberFormat="0" applyFill="0" applyAlignment="0" applyProtection="0"/>
    <xf numFmtId="0" fontId="35" fillId="0" borderId="0" applyNumberFormat="0" applyFill="0" applyBorder="0" applyAlignment="0" applyProtection="0"/>
  </cellStyleXfs>
  <cellXfs count="462">
    <xf numFmtId="0" fontId="0" fillId="0" borderId="0" xfId="0"/>
    <xf numFmtId="0" fontId="2" fillId="0" borderId="0" xfId="0" applyFont="1"/>
    <xf numFmtId="4" fontId="2" fillId="0" borderId="0" xfId="0" applyNumberFormat="1" applyFont="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top"/>
    </xf>
    <xf numFmtId="0" fontId="4" fillId="0" borderId="0" xfId="0" applyFont="1" applyAlignment="1">
      <alignment horizontal="center" vertical="center"/>
    </xf>
    <xf numFmtId="0" fontId="4" fillId="0" borderId="0" xfId="0" applyFont="1"/>
    <xf numFmtId="0" fontId="7" fillId="0" borderId="3" xfId="0" applyFont="1" applyBorder="1" applyAlignment="1">
      <alignment horizontal="left" vertical="top" wrapText="1"/>
    </xf>
    <xf numFmtId="0" fontId="7" fillId="0" borderId="3" xfId="0" applyFont="1" applyBorder="1" applyAlignment="1">
      <alignment horizontal="center"/>
    </xf>
    <xf numFmtId="0" fontId="6" fillId="0" borderId="3" xfId="0" applyFont="1" applyBorder="1" applyAlignment="1">
      <alignment horizontal="center" vertical="top"/>
    </xf>
    <xf numFmtId="0" fontId="6" fillId="0" borderId="3" xfId="0" applyFont="1" applyBorder="1"/>
    <xf numFmtId="0" fontId="6" fillId="0" borderId="3" xfId="0" applyFont="1" applyBorder="1" applyAlignment="1">
      <alignment horizontal="left" vertical="top"/>
    </xf>
    <xf numFmtId="0" fontId="9" fillId="0" borderId="3" xfId="0" applyFont="1" applyBorder="1" applyAlignment="1">
      <alignment horizontal="left" vertical="top"/>
    </xf>
    <xf numFmtId="0" fontId="9" fillId="0" borderId="3" xfId="0" applyFont="1" applyBorder="1"/>
    <xf numFmtId="0" fontId="7" fillId="3" borderId="3" xfId="0" applyFont="1" applyFill="1" applyBorder="1" applyAlignment="1">
      <alignment horizontal="left" vertical="top" wrapText="1"/>
    </xf>
    <xf numFmtId="0" fontId="7" fillId="3" borderId="3" xfId="0" applyFont="1" applyFill="1" applyBorder="1" applyAlignment="1">
      <alignment horizontal="center"/>
    </xf>
    <xf numFmtId="0" fontId="6" fillId="0" borderId="4" xfId="0" applyFont="1" applyBorder="1" applyAlignment="1">
      <alignment horizontal="center" vertical="top"/>
    </xf>
    <xf numFmtId="0" fontId="7" fillId="0" borderId="3" xfId="0" applyFont="1" applyBorder="1" applyAlignment="1">
      <alignment horizontal="center" vertical="top"/>
    </xf>
    <xf numFmtId="0" fontId="9" fillId="0" borderId="3" xfId="0" applyFont="1" applyBorder="1" applyAlignment="1">
      <alignment horizontal="center" vertical="top"/>
    </xf>
    <xf numFmtId="0" fontId="6" fillId="3" borderId="3" xfId="0" applyFont="1" applyFill="1" applyBorder="1" applyAlignment="1">
      <alignment horizontal="center" vertical="top"/>
    </xf>
    <xf numFmtId="0" fontId="5" fillId="0" borderId="0" xfId="0" applyFont="1" applyAlignment="1">
      <alignment vertical="center" wrapText="1"/>
    </xf>
    <xf numFmtId="0" fontId="5" fillId="4" borderId="5" xfId="0" applyFont="1" applyFill="1" applyBorder="1" applyAlignment="1">
      <alignment horizontal="center" vertical="center" wrapText="1"/>
    </xf>
    <xf numFmtId="0" fontId="6" fillId="0" borderId="3" xfId="0" applyFont="1" applyBorder="1" applyAlignment="1">
      <alignment vertical="top"/>
    </xf>
    <xf numFmtId="4" fontId="6" fillId="0" borderId="3" xfId="0" applyNumberFormat="1" applyFont="1" applyBorder="1" applyAlignment="1">
      <alignment horizontal="center" vertical="top"/>
    </xf>
    <xf numFmtId="0" fontId="6" fillId="0" borderId="4" xfId="0" applyFont="1" applyBorder="1" applyAlignment="1">
      <alignment vertical="top"/>
    </xf>
    <xf numFmtId="4" fontId="6" fillId="0" borderId="4" xfId="0" applyNumberFormat="1" applyFont="1" applyBorder="1" applyAlignment="1">
      <alignment horizontal="center" vertical="top"/>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vertical="center"/>
    </xf>
    <xf numFmtId="0" fontId="5" fillId="4" borderId="2" xfId="0" applyFont="1" applyFill="1" applyBorder="1" applyAlignment="1">
      <alignment horizontal="center" vertical="center"/>
    </xf>
    <xf numFmtId="0" fontId="5" fillId="4" borderId="2" xfId="0" applyFont="1" applyFill="1" applyBorder="1" applyAlignment="1">
      <alignment horizontal="left" vertical="center"/>
    </xf>
    <xf numFmtId="0" fontId="5" fillId="4" borderId="2" xfId="0" applyFont="1" applyFill="1" applyBorder="1" applyAlignment="1">
      <alignment vertical="center"/>
    </xf>
    <xf numFmtId="4" fontId="6" fillId="0" borderId="3" xfId="0" applyNumberFormat="1" applyFont="1" applyBorder="1" applyAlignment="1">
      <alignment horizontal="right" vertical="top"/>
    </xf>
    <xf numFmtId="0" fontId="7" fillId="0" borderId="3" xfId="0" applyFont="1" applyBorder="1" applyAlignment="1">
      <alignment horizontal="center" vertical="top" wrapText="1"/>
    </xf>
    <xf numFmtId="4" fontId="6" fillId="0" borderId="8" xfId="0" applyNumberFormat="1" applyFont="1" applyBorder="1" applyAlignment="1">
      <alignment vertical="center"/>
    </xf>
    <xf numFmtId="4" fontId="6" fillId="0" borderId="9" xfId="0" applyNumberFormat="1" applyFont="1" applyBorder="1" applyAlignment="1">
      <alignment vertical="center"/>
    </xf>
    <xf numFmtId="4" fontId="9" fillId="0" borderId="10" xfId="0" applyNumberFormat="1" applyFont="1" applyBorder="1" applyAlignment="1">
      <alignment horizontal="center" vertical="center"/>
    </xf>
    <xf numFmtId="4" fontId="6" fillId="0" borderId="9" xfId="0" applyNumberFormat="1" applyFont="1" applyBorder="1" applyAlignment="1">
      <alignment horizontal="center" vertical="center"/>
    </xf>
    <xf numFmtId="4" fontId="6" fillId="0" borderId="10" xfId="0" applyNumberFormat="1" applyFont="1" applyBorder="1" applyAlignment="1">
      <alignment horizontal="center" vertical="center"/>
    </xf>
    <xf numFmtId="0" fontId="7" fillId="0" borderId="3" xfId="0" applyFont="1" applyBorder="1" applyAlignment="1">
      <alignment horizontal="left" wrapText="1"/>
    </xf>
    <xf numFmtId="4" fontId="9" fillId="0" borderId="2" xfId="0" applyNumberFormat="1" applyFont="1" applyBorder="1"/>
    <xf numFmtId="4" fontId="2" fillId="0" borderId="2" xfId="0" applyNumberFormat="1" applyFont="1" applyBorder="1"/>
    <xf numFmtId="4" fontId="2" fillId="0" borderId="3" xfId="0" applyNumberFormat="1" applyFont="1" applyBorder="1"/>
    <xf numFmtId="4" fontId="6" fillId="0" borderId="3" xfId="0" applyNumberFormat="1" applyFont="1" applyBorder="1"/>
    <xf numFmtId="4" fontId="6" fillId="0" borderId="3" xfId="0" applyNumberFormat="1" applyFont="1" applyBorder="1" applyAlignment="1">
      <alignment horizontal="right" vertical="center"/>
    </xf>
    <xf numFmtId="4" fontId="6" fillId="0" borderId="3" xfId="0" applyNumberFormat="1" applyFont="1" applyBorder="1" applyAlignment="1">
      <alignment horizontal="right"/>
    </xf>
    <xf numFmtId="0" fontId="7" fillId="3" borderId="3" xfId="0" applyFont="1" applyFill="1" applyBorder="1" applyAlignment="1">
      <alignment horizontal="center" vertical="top"/>
    </xf>
    <xf numFmtId="4" fontId="6" fillId="3" borderId="3" xfId="0" applyNumberFormat="1" applyFont="1" applyFill="1" applyBorder="1" applyAlignment="1">
      <alignment horizontal="center" vertical="center"/>
    </xf>
    <xf numFmtId="0" fontId="2" fillId="3"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1" xfId="0" applyFont="1" applyFill="1" applyBorder="1" applyAlignment="1">
      <alignment horizontal="center" vertical="top" wrapText="1"/>
    </xf>
    <xf numFmtId="0" fontId="5" fillId="4" borderId="2" xfId="0" applyFont="1" applyFill="1" applyBorder="1" applyAlignment="1">
      <alignment horizontal="center" vertical="top" wrapText="1"/>
    </xf>
    <xf numFmtId="4" fontId="5" fillId="4" borderId="2" xfId="0" applyNumberFormat="1" applyFont="1" applyFill="1" applyBorder="1" applyAlignment="1">
      <alignment horizontal="right" vertical="center" wrapText="1"/>
    </xf>
    <xf numFmtId="4" fontId="6" fillId="0" borderId="4" xfId="0" applyNumberFormat="1" applyFont="1" applyBorder="1" applyAlignment="1">
      <alignment horizontal="right" vertical="top"/>
    </xf>
    <xf numFmtId="4" fontId="5" fillId="4" borderId="1" xfId="0" applyNumberFormat="1" applyFont="1" applyFill="1" applyBorder="1" applyAlignment="1">
      <alignment horizontal="right" vertical="top" wrapText="1"/>
    </xf>
    <xf numFmtId="4" fontId="5" fillId="4" borderId="2" xfId="0" applyNumberFormat="1" applyFont="1" applyFill="1" applyBorder="1" applyAlignment="1">
      <alignment horizontal="right" vertical="top" wrapText="1"/>
    </xf>
    <xf numFmtId="2" fontId="0" fillId="0" borderId="3" xfId="0" applyNumberFormat="1" applyBorder="1" applyAlignment="1">
      <alignment horizontal="center" vertical="top"/>
    </xf>
    <xf numFmtId="0" fontId="4" fillId="0" borderId="3" xfId="0" applyFont="1" applyBorder="1" applyAlignment="1">
      <alignment horizontal="center" vertical="top"/>
    </xf>
    <xf numFmtId="0" fontId="4" fillId="0" borderId="3" xfId="0" applyFont="1" applyBorder="1"/>
    <xf numFmtId="0" fontId="4" fillId="0" borderId="3" xfId="0" applyFont="1" applyBorder="1" applyAlignment="1">
      <alignment horizontal="right" vertical="top"/>
    </xf>
    <xf numFmtId="0" fontId="13" fillId="0" borderId="0" xfId="1" applyFont="1" applyAlignment="1">
      <alignment vertical="center"/>
    </xf>
    <xf numFmtId="0" fontId="14" fillId="0" borderId="0" xfId="1" applyFont="1" applyAlignment="1">
      <alignment horizontal="left" vertical="center"/>
    </xf>
    <xf numFmtId="0" fontId="16" fillId="0" borderId="0" xfId="1" applyFont="1" applyAlignment="1">
      <alignment vertical="center"/>
    </xf>
    <xf numFmtId="0" fontId="15" fillId="0" borderId="0" xfId="1" applyFont="1" applyAlignment="1">
      <alignment horizontal="center" vertical="center" wrapText="1"/>
    </xf>
    <xf numFmtId="0" fontId="12" fillId="0" borderId="19" xfId="1" applyFont="1" applyFill="1" applyBorder="1" applyAlignment="1" applyProtection="1">
      <alignment vertical="center" wrapText="1"/>
    </xf>
    <xf numFmtId="0" fontId="17" fillId="0" borderId="0" xfId="1" applyFont="1" applyAlignment="1" applyProtection="1">
      <alignment vertical="center"/>
      <protection hidden="1"/>
    </xf>
    <xf numFmtId="0" fontId="17" fillId="0" borderId="0" xfId="1" applyFont="1" applyAlignment="1">
      <alignment vertical="center"/>
    </xf>
    <xf numFmtId="0" fontId="17" fillId="0" borderId="0" xfId="1" applyFont="1" applyAlignment="1" applyProtection="1">
      <alignment horizontal="left" vertical="center"/>
      <protection hidden="1"/>
    </xf>
    <xf numFmtId="0" fontId="19" fillId="0" borderId="0" xfId="1" applyFont="1" applyAlignment="1" applyProtection="1">
      <alignment vertical="center"/>
      <protection hidden="1"/>
    </xf>
    <xf numFmtId="0" fontId="19" fillId="0" borderId="0" xfId="1" applyFont="1" applyAlignment="1">
      <alignment vertical="center"/>
    </xf>
    <xf numFmtId="0" fontId="15" fillId="2" borderId="26" xfId="1" applyFont="1" applyFill="1" applyBorder="1" applyAlignment="1">
      <alignment horizontal="center" vertical="center" wrapText="1"/>
    </xf>
    <xf numFmtId="0" fontId="15" fillId="2" borderId="27" xfId="1" applyFont="1" applyFill="1" applyBorder="1" applyAlignment="1">
      <alignment horizontal="center" vertical="center" wrapText="1"/>
    </xf>
    <xf numFmtId="0" fontId="19" fillId="0" borderId="0" xfId="1" applyFont="1" applyBorder="1" applyAlignment="1" applyProtection="1">
      <alignment vertical="center"/>
      <protection hidden="1"/>
    </xf>
    <xf numFmtId="0" fontId="12" fillId="0" borderId="29" xfId="1" applyFont="1" applyBorder="1" applyAlignment="1">
      <alignment vertical="center" wrapText="1"/>
    </xf>
    <xf numFmtId="2" fontId="12" fillId="0" borderId="4" xfId="1" applyNumberFormat="1" applyFont="1" applyBorder="1" applyAlignment="1" applyProtection="1">
      <alignment horizontal="center" vertical="center" wrapText="1"/>
      <protection hidden="1"/>
    </xf>
    <xf numFmtId="2" fontId="12" fillId="7" borderId="30" xfId="1" quotePrefix="1" applyNumberFormat="1" applyFont="1" applyFill="1" applyBorder="1" applyAlignment="1" applyProtection="1">
      <alignment horizontal="center" vertical="center" wrapText="1"/>
      <protection locked="0"/>
    </xf>
    <xf numFmtId="2" fontId="12" fillId="7" borderId="0" xfId="1" quotePrefix="1" applyNumberFormat="1" applyFont="1" applyFill="1" applyBorder="1" applyAlignment="1" applyProtection="1">
      <alignment vertical="center" wrapText="1"/>
      <protection hidden="1"/>
    </xf>
    <xf numFmtId="0" fontId="12" fillId="0" borderId="29" xfId="1" applyFont="1" applyBorder="1" applyAlignment="1">
      <alignment horizontal="left" vertical="center" wrapText="1"/>
    </xf>
    <xf numFmtId="2" fontId="12" fillId="7" borderId="31" xfId="1" applyNumberFormat="1" applyFont="1" applyFill="1" applyBorder="1" applyAlignment="1" applyProtection="1">
      <alignment horizontal="center" vertical="center" wrapText="1"/>
      <protection locked="0"/>
    </xf>
    <xf numFmtId="2" fontId="12" fillId="7" borderId="0" xfId="1" applyNumberFormat="1" applyFont="1" applyFill="1" applyBorder="1" applyAlignment="1" applyProtection="1">
      <alignment vertical="center" wrapText="1"/>
      <protection hidden="1"/>
    </xf>
    <xf numFmtId="0" fontId="20" fillId="8" borderId="0" xfId="1" applyFont="1" applyFill="1" applyBorder="1" applyAlignment="1" applyProtection="1">
      <alignment vertical="center"/>
      <protection hidden="1"/>
    </xf>
    <xf numFmtId="0" fontId="20" fillId="8" borderId="0" xfId="1" applyFont="1" applyFill="1" applyAlignment="1" applyProtection="1">
      <alignment vertical="center" wrapText="1"/>
      <protection hidden="1"/>
    </xf>
    <xf numFmtId="2" fontId="12" fillId="0" borderId="32" xfId="1" applyNumberFormat="1" applyFont="1" applyBorder="1" applyAlignment="1" applyProtection="1">
      <alignment horizontal="center" vertical="center" wrapText="1"/>
      <protection hidden="1"/>
    </xf>
    <xf numFmtId="2" fontId="12" fillId="0" borderId="33" xfId="1" applyNumberFormat="1" applyFont="1" applyFill="1" applyBorder="1" applyAlignment="1" applyProtection="1">
      <alignment horizontal="center" vertical="center" wrapText="1"/>
    </xf>
    <xf numFmtId="0" fontId="15" fillId="0" borderId="34" xfId="1" applyFont="1" applyBorder="1" applyAlignment="1">
      <alignment vertical="center" wrapText="1"/>
    </xf>
    <xf numFmtId="2" fontId="15" fillId="0" borderId="35" xfId="1" applyNumberFormat="1" applyFont="1" applyBorder="1" applyAlignment="1" applyProtection="1">
      <alignment horizontal="center" vertical="center" wrapText="1"/>
      <protection hidden="1"/>
    </xf>
    <xf numFmtId="2" fontId="15" fillId="0" borderId="28" xfId="1" applyNumberFormat="1" applyFont="1" applyBorder="1" applyAlignment="1" applyProtection="1">
      <alignment horizontal="center" vertical="center" wrapText="1"/>
      <protection hidden="1"/>
    </xf>
    <xf numFmtId="0" fontId="21" fillId="0" borderId="0" xfId="1" applyFont="1" applyAlignment="1" applyProtection="1">
      <alignment vertical="center"/>
      <protection hidden="1"/>
    </xf>
    <xf numFmtId="0" fontId="22" fillId="0" borderId="0" xfId="1" applyFont="1" applyAlignment="1" applyProtection="1">
      <alignment vertical="center"/>
      <protection hidden="1"/>
    </xf>
    <xf numFmtId="0" fontId="23" fillId="0" borderId="0" xfId="1" applyFont="1" applyAlignment="1" applyProtection="1">
      <alignment vertical="center"/>
      <protection hidden="1"/>
    </xf>
    <xf numFmtId="0" fontId="24" fillId="0" borderId="0" xfId="1" applyFont="1" applyAlignment="1" applyProtection="1">
      <alignment vertical="center"/>
      <protection hidden="1"/>
    </xf>
    <xf numFmtId="0" fontId="12" fillId="0" borderId="0" xfId="1" applyFont="1" applyAlignment="1">
      <alignment vertical="center"/>
    </xf>
    <xf numFmtId="0" fontId="19" fillId="0" borderId="0" xfId="1" applyFont="1" applyAlignment="1">
      <alignment horizontal="right" vertical="center"/>
    </xf>
    <xf numFmtId="2" fontId="12" fillId="0" borderId="10" xfId="1" applyNumberFormat="1" applyFont="1" applyBorder="1" applyAlignment="1" applyProtection="1">
      <alignment horizontal="center" vertical="center" wrapText="1"/>
      <protection hidden="1"/>
    </xf>
    <xf numFmtId="0" fontId="25" fillId="0" borderId="0" xfId="1" applyFont="1" applyAlignment="1" applyProtection="1">
      <alignment vertical="center"/>
      <protection hidden="1"/>
    </xf>
    <xf numFmtId="0" fontId="17" fillId="0" borderId="0" xfId="1" applyFont="1" applyAlignment="1">
      <alignment horizontal="right" vertical="center"/>
    </xf>
    <xf numFmtId="2" fontId="17" fillId="0" borderId="0" xfId="1" applyNumberFormat="1" applyFont="1" applyAlignment="1" applyProtection="1">
      <alignment horizontal="center" vertical="center"/>
      <protection hidden="1"/>
    </xf>
    <xf numFmtId="0" fontId="26" fillId="0" borderId="0" xfId="1" applyFont="1" applyAlignment="1" applyProtection="1">
      <alignment vertical="center"/>
      <protection hidden="1"/>
    </xf>
    <xf numFmtId="0" fontId="27" fillId="0" borderId="0" xfId="1" applyFont="1" applyAlignment="1">
      <alignment horizontal="justify" vertical="center"/>
    </xf>
    <xf numFmtId="0" fontId="27" fillId="0" borderId="0" xfId="1" applyFont="1" applyAlignment="1">
      <alignment horizontal="left" vertical="center"/>
    </xf>
    <xf numFmtId="0" fontId="27" fillId="6" borderId="0" xfId="1" applyFont="1" applyFill="1" applyAlignment="1" applyProtection="1">
      <alignment horizontal="left"/>
      <protection locked="0"/>
    </xf>
    <xf numFmtId="0" fontId="27" fillId="0" borderId="36" xfId="1" applyFont="1" applyBorder="1" applyAlignment="1">
      <alignment horizontal="left" vertical="center"/>
    </xf>
    <xf numFmtId="0" fontId="27" fillId="7" borderId="0" xfId="1" applyFont="1" applyFill="1" applyBorder="1" applyAlignment="1" applyProtection="1">
      <alignment horizontal="left" vertical="center"/>
    </xf>
    <xf numFmtId="0" fontId="27" fillId="7" borderId="0" xfId="1" applyFont="1" applyFill="1" applyAlignment="1" applyProtection="1">
      <alignment horizontal="left" vertical="center"/>
    </xf>
    <xf numFmtId="0" fontId="20" fillId="8" borderId="0" xfId="1" applyFont="1" applyFill="1" applyAlignment="1">
      <alignment vertical="center"/>
    </xf>
    <xf numFmtId="0" fontId="20" fillId="8" borderId="0" xfId="1" applyFont="1" applyFill="1" applyAlignment="1">
      <alignment vertical="center" wrapText="1"/>
    </xf>
    <xf numFmtId="0" fontId="20" fillId="8" borderId="0" xfId="1" applyFont="1" applyFill="1" applyBorder="1" applyAlignment="1">
      <alignment vertical="center"/>
    </xf>
    <xf numFmtId="0" fontId="13" fillId="0" borderId="0" xfId="1" applyFont="1" applyBorder="1" applyAlignment="1">
      <alignment vertical="center"/>
    </xf>
    <xf numFmtId="0" fontId="29" fillId="8" borderId="0" xfId="1" applyFont="1" applyFill="1" applyBorder="1" applyAlignment="1">
      <alignment vertical="center"/>
    </xf>
    <xf numFmtId="0" fontId="19" fillId="0" borderId="0" xfId="1" applyFont="1" applyBorder="1" applyAlignment="1">
      <alignment vertical="center"/>
    </xf>
    <xf numFmtId="0" fontId="30" fillId="0" borderId="0" xfId="1" applyFont="1" applyBorder="1" applyAlignment="1">
      <alignment vertical="center"/>
    </xf>
    <xf numFmtId="0" fontId="17" fillId="0" borderId="0" xfId="1" applyFont="1" applyBorder="1" applyAlignment="1">
      <alignment vertical="center"/>
    </xf>
    <xf numFmtId="0" fontId="20" fillId="0" borderId="0" xfId="1" applyFont="1" applyBorder="1" applyAlignment="1">
      <alignment vertical="center"/>
    </xf>
    <xf numFmtId="0" fontId="29" fillId="0" borderId="0" xfId="1" applyFont="1" applyBorder="1" applyAlignment="1">
      <alignment horizontal="center" vertical="center" wrapText="1"/>
    </xf>
    <xf numFmtId="0" fontId="12" fillId="0" borderId="0" xfId="1" applyFont="1" applyBorder="1" applyAlignment="1">
      <alignment vertical="center" wrapText="1"/>
    </xf>
    <xf numFmtId="2" fontId="12" fillId="0" borderId="0" xfId="1" applyNumberFormat="1" applyFont="1" applyBorder="1" applyAlignment="1">
      <alignment vertical="center" wrapText="1"/>
    </xf>
    <xf numFmtId="0" fontId="15" fillId="0" borderId="0" xfId="1" applyFont="1" applyBorder="1" applyAlignment="1">
      <alignment vertical="center" wrapText="1"/>
    </xf>
    <xf numFmtId="2" fontId="15" fillId="0" borderId="0" xfId="1" applyNumberFormat="1" applyFont="1" applyBorder="1" applyAlignment="1">
      <alignment vertical="center" wrapText="1"/>
    </xf>
    <xf numFmtId="0" fontId="27" fillId="0" borderId="0" xfId="1" applyFont="1" applyBorder="1" applyAlignment="1">
      <alignment horizontal="justify" vertical="center"/>
    </xf>
    <xf numFmtId="0" fontId="1" fillId="0" borderId="0" xfId="1" applyFont="1"/>
    <xf numFmtId="0" fontId="1" fillId="0" borderId="2" xfId="1" applyFont="1" applyBorder="1"/>
    <xf numFmtId="2" fontId="12" fillId="0" borderId="2" xfId="1" applyNumberFormat="1" applyFont="1" applyBorder="1" applyAlignment="1">
      <alignment horizontal="right" wrapText="1"/>
    </xf>
    <xf numFmtId="2" fontId="12" fillId="0" borderId="2" xfId="1" applyNumberFormat="1" applyFont="1" applyBorder="1" applyAlignment="1">
      <alignment wrapText="1"/>
    </xf>
    <xf numFmtId="2" fontId="12" fillId="0" borderId="2" xfId="1" applyNumberFormat="1" applyFont="1" applyFill="1" applyBorder="1" applyAlignment="1">
      <alignment horizontal="right" wrapText="1"/>
    </xf>
    <xf numFmtId="2" fontId="15" fillId="0" borderId="35" xfId="1" applyNumberFormat="1" applyFont="1" applyBorder="1" applyAlignment="1">
      <alignment wrapText="1"/>
    </xf>
    <xf numFmtId="0" fontId="1" fillId="0" borderId="0" xfId="1" applyFont="1" applyFill="1" applyBorder="1"/>
    <xf numFmtId="0" fontId="7" fillId="0" borderId="4" xfId="0" applyFont="1" applyBorder="1" applyAlignment="1">
      <alignment horizontal="left" vertical="top" wrapText="1"/>
    </xf>
    <xf numFmtId="0" fontId="7" fillId="0" borderId="4" xfId="0" applyFont="1" applyBorder="1" applyAlignment="1">
      <alignment horizontal="center" vertical="top"/>
    </xf>
    <xf numFmtId="0" fontId="6" fillId="0" borderId="3" xfId="0" applyFont="1" applyFill="1" applyBorder="1" applyAlignment="1">
      <alignment horizontal="center" vertical="top"/>
    </xf>
    <xf numFmtId="0" fontId="7" fillId="0" borderId="3" xfId="0" applyFont="1" applyFill="1" applyBorder="1" applyAlignment="1">
      <alignment horizontal="left" vertical="top" wrapText="1"/>
    </xf>
    <xf numFmtId="0" fontId="7" fillId="0" borderId="3" xfId="0" applyFont="1" applyFill="1" applyBorder="1" applyAlignment="1">
      <alignment horizontal="center" vertical="top"/>
    </xf>
    <xf numFmtId="4" fontId="6" fillId="0" borderId="3" xfId="0" applyNumberFormat="1" applyFont="1" applyFill="1" applyBorder="1" applyAlignment="1">
      <alignment horizontal="center" vertical="top"/>
    </xf>
    <xf numFmtId="4" fontId="6" fillId="0" borderId="3" xfId="0" applyNumberFormat="1" applyFont="1" applyFill="1" applyBorder="1" applyAlignment="1">
      <alignment horizontal="right" vertical="top"/>
    </xf>
    <xf numFmtId="4" fontId="11" fillId="0" borderId="3" xfId="0" applyNumberFormat="1" applyFont="1" applyFill="1" applyBorder="1" applyAlignment="1">
      <alignment horizontal="center" vertical="top"/>
    </xf>
    <xf numFmtId="0" fontId="5" fillId="0" borderId="0" xfId="0" applyFont="1" applyFill="1" applyBorder="1" applyAlignment="1">
      <alignment vertical="center" wrapText="1"/>
    </xf>
    <xf numFmtId="0" fontId="2" fillId="0" borderId="0" xfId="0" applyFont="1" applyBorder="1" applyAlignment="1">
      <alignment horizontal="left" vertical="top"/>
    </xf>
    <xf numFmtId="0" fontId="2" fillId="0" borderId="0" xfId="0" applyFont="1" applyBorder="1"/>
    <xf numFmtId="0" fontId="3" fillId="2" borderId="37" xfId="1" applyFont="1" applyFill="1" applyBorder="1" applyAlignment="1">
      <alignment horizontal="center" vertical="center" wrapText="1"/>
    </xf>
    <xf numFmtId="0" fontId="4" fillId="0" borderId="0" xfId="0" applyFont="1" applyAlignment="1">
      <alignment wrapText="1"/>
    </xf>
    <xf numFmtId="4" fontId="6" fillId="0" borderId="3" xfId="0" applyNumberFormat="1" applyFont="1" applyFill="1" applyBorder="1" applyAlignment="1">
      <alignment horizontal="center" vertical="center"/>
    </xf>
    <xf numFmtId="0" fontId="7" fillId="0" borderId="3" xfId="0" applyFont="1" applyFill="1" applyBorder="1" applyAlignment="1">
      <alignment horizontal="center"/>
    </xf>
    <xf numFmtId="0" fontId="2" fillId="0" borderId="0" xfId="0" applyFont="1" applyFill="1"/>
    <xf numFmtId="0" fontId="7" fillId="0" borderId="3" xfId="0" applyFont="1" applyFill="1" applyBorder="1" applyAlignment="1">
      <alignment horizontal="center" vertical="center"/>
    </xf>
    <xf numFmtId="0" fontId="3" fillId="9" borderId="41" xfId="2" applyFont="1" applyFill="1" applyBorder="1" applyAlignment="1">
      <alignment horizontal="center" vertical="top" wrapText="1"/>
    </xf>
    <xf numFmtId="0" fontId="3" fillId="9" borderId="0" xfId="2" applyFont="1" applyFill="1" applyBorder="1" applyAlignment="1">
      <alignment vertical="top" wrapText="1"/>
    </xf>
    <xf numFmtId="4" fontId="3" fillId="9" borderId="41" xfId="2" applyNumberFormat="1" applyFont="1" applyFill="1" applyBorder="1" applyAlignment="1">
      <alignment horizontal="center" vertical="top" wrapText="1"/>
    </xf>
    <xf numFmtId="4" fontId="3" fillId="9" borderId="0" xfId="2" applyNumberFormat="1" applyFont="1" applyFill="1" applyBorder="1" applyAlignment="1">
      <alignment horizontal="center" vertical="top" wrapText="1"/>
    </xf>
    <xf numFmtId="10" fontId="3" fillId="9" borderId="40" xfId="2" applyNumberFormat="1" applyFont="1" applyFill="1" applyBorder="1" applyAlignment="1">
      <alignment vertical="top" wrapText="1"/>
    </xf>
    <xf numFmtId="4" fontId="3" fillId="9" borderId="40" xfId="2" applyNumberFormat="1" applyFont="1" applyFill="1" applyBorder="1" applyAlignment="1">
      <alignment vertical="top" wrapText="1"/>
    </xf>
    <xf numFmtId="0" fontId="4" fillId="0" borderId="0" xfId="0" applyFont="1" applyFill="1"/>
    <xf numFmtId="0" fontId="4" fillId="0" borderId="0" xfId="0" applyFont="1" applyFill="1" applyAlignment="1">
      <alignment horizontal="center" vertical="center"/>
    </xf>
    <xf numFmtId="4" fontId="36" fillId="0" borderId="0" xfId="2" applyNumberFormat="1" applyFont="1" applyFill="1" applyBorder="1" applyAlignment="1">
      <alignment horizontal="center" vertical="top" wrapText="1"/>
    </xf>
    <xf numFmtId="4" fontId="36" fillId="0" borderId="41" xfId="2" applyNumberFormat="1" applyFont="1" applyFill="1" applyBorder="1" applyAlignment="1">
      <alignment horizontal="center" vertical="top" wrapText="1"/>
    </xf>
    <xf numFmtId="0" fontId="36" fillId="0" borderId="0" xfId="2" applyFont="1" applyFill="1" applyBorder="1" applyAlignment="1">
      <alignment vertical="top" wrapText="1"/>
    </xf>
    <xf numFmtId="0" fontId="11" fillId="0" borderId="39" xfId="2" applyFont="1" applyBorder="1" applyAlignment="1">
      <alignment vertical="top" wrapText="1"/>
    </xf>
    <xf numFmtId="10" fontId="36" fillId="0" borderId="40" xfId="2" applyNumberFormat="1" applyFont="1" applyFill="1" applyBorder="1" applyAlignment="1">
      <alignment vertical="top" wrapText="1"/>
    </xf>
    <xf numFmtId="4" fontId="36" fillId="0" borderId="40" xfId="2" applyNumberFormat="1" applyFont="1" applyFill="1" applyBorder="1" applyAlignment="1">
      <alignment vertical="top" wrapText="1"/>
    </xf>
    <xf numFmtId="0" fontId="36" fillId="0" borderId="0" xfId="2" applyFont="1" applyBorder="1" applyAlignment="1">
      <alignment vertical="top" wrapText="1"/>
    </xf>
    <xf numFmtId="4" fontId="36" fillId="0" borderId="41" xfId="2" applyNumberFormat="1" applyFont="1" applyBorder="1" applyAlignment="1">
      <alignment horizontal="center" vertical="top" wrapText="1"/>
    </xf>
    <xf numFmtId="4" fontId="36" fillId="0" borderId="0" xfId="2" applyNumberFormat="1" applyFont="1" applyBorder="1" applyAlignment="1">
      <alignment horizontal="center" vertical="top" wrapText="1"/>
    </xf>
    <xf numFmtId="10" fontId="36" fillId="0" borderId="40" xfId="2" applyNumberFormat="1" applyFont="1" applyBorder="1" applyAlignment="1">
      <alignment vertical="top" wrapText="1"/>
    </xf>
    <xf numFmtId="4" fontId="36" fillId="0" borderId="40" xfId="2" applyNumberFormat="1" applyFont="1" applyBorder="1" applyAlignment="1">
      <alignment vertical="top" wrapText="1"/>
    </xf>
    <xf numFmtId="4" fontId="11" fillId="0" borderId="41" xfId="2" applyNumberFormat="1" applyFont="1" applyBorder="1" applyAlignment="1">
      <alignment horizontal="center" vertical="top" wrapText="1"/>
    </xf>
    <xf numFmtId="4" fontId="11" fillId="0" borderId="0" xfId="2" applyNumberFormat="1" applyFont="1" applyBorder="1" applyAlignment="1">
      <alignment horizontal="center" vertical="top" wrapText="1"/>
    </xf>
    <xf numFmtId="4" fontId="11" fillId="0" borderId="0" xfId="2" applyNumberFormat="1" applyFont="1" applyBorder="1" applyAlignment="1">
      <alignment horizontal="center" vertical="top"/>
    </xf>
    <xf numFmtId="4" fontId="11" fillId="0" borderId="41" xfId="2" applyNumberFormat="1" applyFont="1" applyBorder="1" applyAlignment="1">
      <alignment horizontal="center" vertical="top"/>
    </xf>
    <xf numFmtId="0" fontId="36" fillId="0" borderId="41" xfId="2" applyFont="1" applyFill="1" applyBorder="1" applyAlignment="1">
      <alignment horizontal="center" vertical="top" wrapText="1"/>
    </xf>
    <xf numFmtId="0" fontId="36" fillId="0" borderId="41" xfId="2" applyFont="1" applyBorder="1" applyAlignment="1">
      <alignment horizontal="center" vertical="top" wrapText="1"/>
    </xf>
    <xf numFmtId="0" fontId="11" fillId="0" borderId="0" xfId="2" applyFont="1" applyBorder="1" applyAlignment="1">
      <alignment vertical="top" wrapText="1"/>
    </xf>
    <xf numFmtId="0" fontId="11" fillId="0" borderId="41" xfId="2" applyFont="1" applyBorder="1" applyAlignment="1">
      <alignment horizontal="center" vertical="top" wrapText="1"/>
    </xf>
    <xf numFmtId="0" fontId="11" fillId="0" borderId="41" xfId="2" applyFont="1" applyBorder="1" applyAlignment="1">
      <alignment vertical="top" wrapText="1"/>
    </xf>
    <xf numFmtId="0" fontId="6" fillId="4" borderId="3" xfId="0" applyFont="1" applyFill="1" applyBorder="1" applyAlignment="1">
      <alignment horizontal="center" vertical="top"/>
    </xf>
    <xf numFmtId="0" fontId="7" fillId="4" borderId="3" xfId="0" applyFont="1" applyFill="1" applyBorder="1" applyAlignment="1">
      <alignment horizontal="left" vertical="top" wrapText="1"/>
    </xf>
    <xf numFmtId="0" fontId="7" fillId="4" borderId="3" xfId="0" applyFont="1" applyFill="1" applyBorder="1" applyAlignment="1">
      <alignment horizontal="center" vertical="top"/>
    </xf>
    <xf numFmtId="4" fontId="6" fillId="4" borderId="3" xfId="0" applyNumberFormat="1" applyFont="1" applyFill="1" applyBorder="1" applyAlignment="1">
      <alignment horizontal="center" vertical="center"/>
    </xf>
    <xf numFmtId="4" fontId="11" fillId="0" borderId="41" xfId="2" applyNumberFormat="1" applyFont="1" applyBorder="1" applyAlignment="1">
      <alignment vertical="top" wrapText="1"/>
    </xf>
    <xf numFmtId="4" fontId="11" fillId="0" borderId="40" xfId="2" applyNumberFormat="1" applyFont="1" applyBorder="1" applyAlignment="1">
      <alignment vertical="top" wrapText="1"/>
    </xf>
    <xf numFmtId="10" fontId="11" fillId="0" borderId="40" xfId="2" applyNumberFormat="1" applyFont="1" applyBorder="1" applyAlignment="1">
      <alignment vertical="top" wrapText="1"/>
    </xf>
    <xf numFmtId="0" fontId="11" fillId="0" borderId="0" xfId="2" applyFont="1" applyBorder="1" applyAlignment="1">
      <alignment horizontal="center" vertical="top" wrapText="1"/>
    </xf>
    <xf numFmtId="4" fontId="37" fillId="0" borderId="41" xfId="2" applyNumberFormat="1" applyFont="1" applyBorder="1" applyAlignment="1">
      <alignment vertical="top" wrapText="1"/>
    </xf>
    <xf numFmtId="4" fontId="11" fillId="0" borderId="41" xfId="2" applyNumberFormat="1" applyFont="1" applyBorder="1" applyAlignment="1">
      <alignment vertical="top"/>
    </xf>
    <xf numFmtId="4" fontId="11" fillId="10" borderId="0" xfId="2" applyNumberFormat="1" applyFont="1" applyFill="1" applyBorder="1" applyAlignment="1">
      <alignment horizontal="center" vertical="top" wrapText="1"/>
    </xf>
    <xf numFmtId="164" fontId="37" fillId="10" borderId="41" xfId="2" applyNumberFormat="1" applyFont="1" applyFill="1" applyBorder="1" applyAlignment="1">
      <alignment horizontal="right" vertical="top" wrapText="1"/>
    </xf>
    <xf numFmtId="4" fontId="11" fillId="10" borderId="40" xfId="2" applyNumberFormat="1" applyFont="1" applyFill="1" applyBorder="1" applyAlignment="1">
      <alignment horizontal="right" vertical="top" wrapText="1"/>
    </xf>
    <xf numFmtId="164" fontId="11" fillId="10" borderId="40" xfId="2" applyNumberFormat="1" applyFont="1" applyFill="1" applyBorder="1" applyAlignment="1">
      <alignment horizontal="right" vertical="top" wrapText="1"/>
    </xf>
    <xf numFmtId="0" fontId="11" fillId="10" borderId="41" xfId="2" applyFont="1" applyFill="1" applyBorder="1" applyAlignment="1">
      <alignment horizontal="center" vertical="top" wrapText="1"/>
    </xf>
    <xf numFmtId="0" fontId="36" fillId="10" borderId="0" xfId="2" applyFont="1" applyFill="1" applyBorder="1" applyAlignment="1">
      <alignment horizontal="center" vertical="top" wrapText="1"/>
    </xf>
    <xf numFmtId="0" fontId="11" fillId="0" borderId="0" xfId="2" applyFont="1" applyBorder="1" applyAlignment="1">
      <alignment horizontal="left" vertical="top" wrapText="1"/>
    </xf>
    <xf numFmtId="164" fontId="37" fillId="0" borderId="41" xfId="2" applyNumberFormat="1" applyFont="1" applyBorder="1" applyAlignment="1">
      <alignment horizontal="right" vertical="top" wrapText="1"/>
    </xf>
    <xf numFmtId="4" fontId="11" fillId="0" borderId="40" xfId="2" applyNumberFormat="1" applyFont="1" applyBorder="1" applyAlignment="1">
      <alignment horizontal="right" vertical="top" wrapText="1"/>
    </xf>
    <xf numFmtId="164" fontId="11" fillId="0" borderId="40" xfId="2" applyNumberFormat="1" applyFont="1" applyBorder="1" applyAlignment="1">
      <alignment horizontal="right" vertical="top" wrapText="1"/>
    </xf>
    <xf numFmtId="4" fontId="37" fillId="0" borderId="41" xfId="2" applyNumberFormat="1" applyFont="1" applyBorder="1" applyAlignment="1">
      <alignment horizontal="right" vertical="top" wrapText="1"/>
    </xf>
    <xf numFmtId="0" fontId="36" fillId="10" borderId="41" xfId="2" applyFont="1" applyFill="1" applyBorder="1" applyAlignment="1">
      <alignment horizontal="justify" vertical="top"/>
    </xf>
    <xf numFmtId="0" fontId="11" fillId="10" borderId="41" xfId="2" applyFont="1" applyFill="1" applyBorder="1" applyAlignment="1">
      <alignment horizontal="justify" vertical="top"/>
    </xf>
    <xf numFmtId="4" fontId="6" fillId="0" borderId="41" xfId="0" applyNumberFormat="1" applyFont="1" applyBorder="1" applyAlignment="1">
      <alignment horizontal="center" vertical="top"/>
    </xf>
    <xf numFmtId="4" fontId="6" fillId="0" borderId="41" xfId="0" applyNumberFormat="1" applyFont="1" applyBorder="1" applyAlignment="1">
      <alignment horizontal="right" vertical="top"/>
    </xf>
    <xf numFmtId="49" fontId="36" fillId="0" borderId="41" xfId="2" applyNumberFormat="1" applyFont="1" applyBorder="1" applyAlignment="1">
      <alignment horizontal="center" vertical="top" wrapText="1"/>
    </xf>
    <xf numFmtId="0" fontId="36" fillId="0" borderId="41" xfId="2" applyFont="1" applyBorder="1" applyAlignment="1">
      <alignment vertical="top" wrapText="1"/>
    </xf>
    <xf numFmtId="0" fontId="11" fillId="0" borderId="42" xfId="2" applyFont="1" applyBorder="1" applyAlignment="1">
      <alignment horizontal="center" vertical="top" wrapText="1"/>
    </xf>
    <xf numFmtId="0" fontId="11" fillId="0" borderId="3" xfId="2" applyFont="1" applyBorder="1" applyAlignment="1">
      <alignment vertical="top" wrapText="1"/>
    </xf>
    <xf numFmtId="4" fontId="11" fillId="0" borderId="3" xfId="2" applyNumberFormat="1" applyFont="1" applyBorder="1" applyAlignment="1">
      <alignment horizontal="center" vertical="top" wrapText="1"/>
    </xf>
    <xf numFmtId="49" fontId="11" fillId="0" borderId="42" xfId="0" applyNumberFormat="1" applyFont="1" applyBorder="1" applyAlignment="1">
      <alignment horizontal="center" vertical="top" wrapText="1"/>
    </xf>
    <xf numFmtId="0" fontId="11" fillId="0" borderId="3" xfId="0" applyFont="1" applyBorder="1" applyAlignment="1">
      <alignment horizontal="center" vertical="top" wrapText="1"/>
    </xf>
    <xf numFmtId="0" fontId="11" fillId="0" borderId="3" xfId="0" applyFont="1" applyBorder="1" applyAlignment="1">
      <alignment vertical="top" wrapText="1"/>
    </xf>
    <xf numFmtId="4" fontId="9" fillId="0" borderId="3" xfId="0" applyNumberFormat="1" applyFont="1" applyBorder="1" applyAlignment="1">
      <alignment horizontal="right" vertical="top"/>
    </xf>
    <xf numFmtId="4" fontId="9" fillId="0" borderId="41" xfId="0" applyNumberFormat="1" applyFont="1" applyBorder="1" applyAlignment="1">
      <alignment horizontal="right" vertical="top"/>
    </xf>
    <xf numFmtId="0" fontId="36" fillId="0" borderId="3" xfId="2" applyFont="1" applyBorder="1" applyAlignment="1">
      <alignment horizontal="center" vertical="top" wrapText="1"/>
    </xf>
    <xf numFmtId="0" fontId="36" fillId="0" borderId="3" xfId="2" applyFont="1" applyBorder="1" applyAlignment="1">
      <alignment vertical="top" wrapText="1"/>
    </xf>
    <xf numFmtId="0" fontId="2" fillId="0" borderId="0" xfId="0" applyFont="1" applyFill="1" applyBorder="1" applyAlignment="1">
      <alignment horizontal="center" vertical="top"/>
    </xf>
    <xf numFmtId="0" fontId="7" fillId="0" borderId="8" xfId="0" applyFont="1" applyBorder="1" applyAlignment="1">
      <alignment horizontal="center" vertical="top"/>
    </xf>
    <xf numFmtId="0" fontId="7" fillId="0" borderId="9" xfId="0" applyFont="1" applyBorder="1" applyAlignment="1">
      <alignment horizontal="center" vertical="top"/>
    </xf>
    <xf numFmtId="4" fontId="6" fillId="0" borderId="4" xfId="0" applyNumberFormat="1" applyFont="1" applyBorder="1" applyAlignment="1">
      <alignment horizontal="center" vertical="center"/>
    </xf>
    <xf numFmtId="4" fontId="6" fillId="0" borderId="2"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0" borderId="14"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1" fillId="0" borderId="36" xfId="2" applyFont="1" applyBorder="1" applyAlignment="1">
      <alignment vertical="top" wrapText="1"/>
    </xf>
    <xf numFmtId="4" fontId="11" fillId="0" borderId="36" xfId="2" applyNumberFormat="1" applyFont="1" applyBorder="1" applyAlignment="1">
      <alignment horizontal="center" vertical="top" wrapText="1"/>
    </xf>
    <xf numFmtId="0" fontId="7" fillId="0" borderId="4" xfId="0" applyFont="1" applyBorder="1" applyAlignment="1">
      <alignment horizontal="center"/>
    </xf>
    <xf numFmtId="0" fontId="5" fillId="0" borderId="44" xfId="0" applyFont="1" applyFill="1" applyBorder="1" applyAlignment="1">
      <alignment horizontal="center" vertical="top" wrapText="1"/>
    </xf>
    <xf numFmtId="0" fontId="5" fillId="0" borderId="45" xfId="0" applyFont="1" applyFill="1" applyBorder="1" applyAlignment="1">
      <alignment vertical="center" wrapText="1"/>
    </xf>
    <xf numFmtId="0" fontId="5" fillId="0" borderId="45" xfId="0" applyFont="1" applyFill="1" applyBorder="1" applyAlignment="1">
      <alignment horizontal="right" vertical="top" wrapText="1"/>
    </xf>
    <xf numFmtId="0" fontId="5" fillId="0" borderId="46" xfId="0" applyFont="1" applyFill="1" applyBorder="1" applyAlignment="1">
      <alignment horizontal="right" vertical="top" wrapText="1"/>
    </xf>
    <xf numFmtId="0" fontId="5" fillId="0" borderId="47" xfId="0" applyFont="1" applyFill="1" applyBorder="1" applyAlignment="1">
      <alignment horizontal="center" vertical="top" wrapText="1"/>
    </xf>
    <xf numFmtId="0" fontId="5" fillId="4" borderId="48"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50" xfId="0" applyFont="1" applyFill="1" applyBorder="1" applyAlignment="1">
      <alignment horizontal="center" vertical="center" wrapText="1"/>
    </xf>
    <xf numFmtId="4" fontId="5" fillId="4" borderId="51" xfId="0" applyNumberFormat="1" applyFont="1" applyFill="1" applyBorder="1" applyAlignment="1">
      <alignment horizontal="right" vertical="top" wrapText="1"/>
    </xf>
    <xf numFmtId="0" fontId="6" fillId="0" borderId="42" xfId="0" applyFont="1" applyBorder="1" applyAlignment="1">
      <alignment horizontal="center" vertical="top"/>
    </xf>
    <xf numFmtId="4" fontId="6" fillId="0" borderId="52" xfId="0" applyNumberFormat="1" applyFont="1" applyBorder="1" applyAlignment="1">
      <alignment horizontal="right" vertical="top"/>
    </xf>
    <xf numFmtId="0" fontId="5" fillId="4" borderId="29" xfId="0" applyFont="1" applyFill="1" applyBorder="1" applyAlignment="1">
      <alignment horizontal="center" vertical="center" wrapText="1"/>
    </xf>
    <xf numFmtId="4" fontId="5" fillId="4" borderId="53" xfId="0" applyNumberFormat="1" applyFont="1" applyFill="1" applyBorder="1" applyAlignment="1">
      <alignment horizontal="right" vertical="top" wrapText="1"/>
    </xf>
    <xf numFmtId="0" fontId="7" fillId="0" borderId="42" xfId="0" applyFont="1" applyBorder="1" applyAlignment="1">
      <alignment horizontal="center" vertical="top"/>
    </xf>
    <xf numFmtId="0" fontId="6" fillId="0" borderId="54" xfId="0" applyFont="1" applyBorder="1" applyAlignment="1">
      <alignment horizontal="center" vertical="top"/>
    </xf>
    <xf numFmtId="4" fontId="6" fillId="0" borderId="55" xfId="0" applyNumberFormat="1" applyFont="1" applyBorder="1" applyAlignment="1">
      <alignment horizontal="right" vertical="top"/>
    </xf>
    <xf numFmtId="0" fontId="6" fillId="0" borderId="42" xfId="0" applyFont="1" applyFill="1" applyBorder="1" applyAlignment="1">
      <alignment horizontal="center" vertical="top"/>
    </xf>
    <xf numFmtId="4" fontId="6" fillId="0" borderId="52" xfId="0" applyNumberFormat="1" applyFont="1" applyFill="1" applyBorder="1" applyAlignment="1">
      <alignment horizontal="right" vertical="top"/>
    </xf>
    <xf numFmtId="3" fontId="6" fillId="0" borderId="42" xfId="0" applyNumberFormat="1" applyFont="1" applyBorder="1" applyAlignment="1">
      <alignment horizontal="center" vertical="top"/>
    </xf>
    <xf numFmtId="0" fontId="3" fillId="9" borderId="47" xfId="2" applyFont="1" applyFill="1" applyBorder="1" applyAlignment="1">
      <alignment horizontal="center" vertical="top" wrapText="1"/>
    </xf>
    <xf numFmtId="4" fontId="3" fillId="9" borderId="14" xfId="2" applyNumberFormat="1" applyFont="1" applyFill="1" applyBorder="1" applyAlignment="1">
      <alignment vertical="top" wrapText="1"/>
    </xf>
    <xf numFmtId="0" fontId="36" fillId="0" borderId="47" xfId="2" applyFont="1" applyFill="1" applyBorder="1" applyAlignment="1">
      <alignment horizontal="center" vertical="top" wrapText="1"/>
    </xf>
    <xf numFmtId="4" fontId="36" fillId="0" borderId="14" xfId="2" applyNumberFormat="1" applyFont="1" applyFill="1" applyBorder="1" applyAlignment="1">
      <alignment vertical="top" wrapText="1"/>
    </xf>
    <xf numFmtId="0" fontId="36" fillId="0" borderId="47" xfId="2" applyFont="1" applyBorder="1" applyAlignment="1">
      <alignment horizontal="center" vertical="top" wrapText="1"/>
    </xf>
    <xf numFmtId="4" fontId="36" fillId="0" borderId="14" xfId="2" applyNumberFormat="1" applyFont="1" applyBorder="1" applyAlignment="1">
      <alignment vertical="top" wrapText="1"/>
    </xf>
    <xf numFmtId="0" fontId="11" fillId="0" borderId="47" xfId="2" applyFont="1" applyBorder="1" applyAlignment="1">
      <alignment horizontal="center" vertical="top" wrapText="1"/>
    </xf>
    <xf numFmtId="0" fontId="11" fillId="0" borderId="56" xfId="2" applyFont="1" applyBorder="1" applyAlignment="1">
      <alignment horizontal="center" vertical="top" wrapText="1"/>
    </xf>
    <xf numFmtId="49" fontId="11" fillId="0" borderId="47" xfId="2" applyNumberFormat="1" applyFont="1" applyBorder="1" applyAlignment="1">
      <alignment horizontal="center" vertical="top" wrapText="1"/>
    </xf>
    <xf numFmtId="0" fontId="11" fillId="0" borderId="57" xfId="2" applyFont="1" applyBorder="1" applyAlignment="1">
      <alignment horizontal="center" vertical="top" wrapText="1"/>
    </xf>
    <xf numFmtId="0" fontId="11" fillId="0" borderId="47" xfId="2" applyFont="1" applyBorder="1" applyAlignment="1">
      <alignment vertical="top" wrapText="1"/>
    </xf>
    <xf numFmtId="4" fontId="6" fillId="0" borderId="58" xfId="0" applyNumberFormat="1" applyFont="1" applyBorder="1" applyAlignment="1">
      <alignment horizontal="right" vertical="top"/>
    </xf>
    <xf numFmtId="49" fontId="11" fillId="0" borderId="56" xfId="2" applyNumberFormat="1" applyFont="1" applyBorder="1" applyAlignment="1">
      <alignment horizontal="center" vertical="top" wrapText="1"/>
    </xf>
    <xf numFmtId="4" fontId="9" fillId="0" borderId="58" xfId="0" applyNumberFormat="1" applyFont="1" applyBorder="1" applyAlignment="1">
      <alignment horizontal="right" vertical="top"/>
    </xf>
    <xf numFmtId="4" fontId="6" fillId="0" borderId="59" xfId="0" applyNumberFormat="1" applyFont="1" applyBorder="1" applyAlignment="1">
      <alignment horizontal="right" vertical="top"/>
    </xf>
    <xf numFmtId="4" fontId="9" fillId="0" borderId="52" xfId="0" applyNumberFormat="1" applyFont="1" applyBorder="1" applyAlignment="1">
      <alignment horizontal="right" vertical="top"/>
    </xf>
    <xf numFmtId="4" fontId="5" fillId="4" borderId="53" xfId="0" applyNumberFormat="1" applyFont="1" applyFill="1" applyBorder="1" applyAlignment="1">
      <alignment horizontal="right" vertical="center" wrapText="1"/>
    </xf>
    <xf numFmtId="0" fontId="4" fillId="0" borderId="42" xfId="0" applyFont="1" applyBorder="1" applyAlignment="1">
      <alignment horizontal="center" vertical="top"/>
    </xf>
    <xf numFmtId="0" fontId="4" fillId="0" borderId="52" xfId="0" applyFont="1" applyBorder="1" applyAlignment="1">
      <alignment horizontal="right" vertical="top"/>
    </xf>
    <xf numFmtId="0" fontId="4" fillId="0" borderId="25" xfId="0" applyFont="1" applyBorder="1" applyAlignment="1">
      <alignment horizontal="center" vertical="top"/>
    </xf>
    <xf numFmtId="0" fontId="4" fillId="0" borderId="61" xfId="0" applyFont="1" applyBorder="1"/>
    <xf numFmtId="0" fontId="4" fillId="0" borderId="61" xfId="0" applyFont="1" applyBorder="1" applyAlignment="1">
      <alignment horizontal="center" vertical="top"/>
    </xf>
    <xf numFmtId="0" fontId="4" fillId="0" borderId="61" xfId="0" applyFont="1" applyBorder="1" applyAlignment="1">
      <alignment horizontal="right" vertical="top"/>
    </xf>
    <xf numFmtId="0" fontId="4" fillId="0" borderId="62" xfId="0" applyFont="1" applyBorder="1" applyAlignment="1">
      <alignment horizontal="right" vertical="top"/>
    </xf>
    <xf numFmtId="0" fontId="2" fillId="0" borderId="45" xfId="0" applyFont="1" applyBorder="1"/>
    <xf numFmtId="0" fontId="2" fillId="0" borderId="46" xfId="0" applyFont="1" applyBorder="1"/>
    <xf numFmtId="0" fontId="2" fillId="0" borderId="14" xfId="0" applyFont="1" applyFill="1" applyBorder="1" applyAlignment="1">
      <alignment horizontal="center" vertical="top"/>
    </xf>
    <xf numFmtId="0" fontId="3" fillId="2" borderId="63" xfId="1" applyFont="1" applyFill="1" applyBorder="1" applyAlignment="1">
      <alignment horizontal="center" vertical="center" wrapText="1"/>
    </xf>
    <xf numFmtId="0" fontId="3" fillId="2" borderId="64" xfId="1" applyFont="1" applyFill="1" applyBorder="1" applyAlignment="1">
      <alignment horizontal="center" vertical="center" wrapText="1"/>
    </xf>
    <xf numFmtId="0" fontId="5" fillId="4" borderId="50" xfId="0" applyFont="1" applyFill="1" applyBorder="1" applyAlignment="1">
      <alignment horizontal="center" vertical="center"/>
    </xf>
    <xf numFmtId="0" fontId="5" fillId="4" borderId="51" xfId="0" applyFont="1" applyFill="1" applyBorder="1" applyAlignment="1">
      <alignment horizontal="center" vertical="top"/>
    </xf>
    <xf numFmtId="4" fontId="9" fillId="5" borderId="52" xfId="0" applyNumberFormat="1" applyFont="1" applyFill="1" applyBorder="1" applyAlignment="1">
      <alignment horizontal="center" vertical="top"/>
    </xf>
    <xf numFmtId="4" fontId="6" fillId="0" borderId="52" xfId="0" applyNumberFormat="1" applyFont="1" applyBorder="1" applyAlignment="1">
      <alignment horizontal="center" vertical="center"/>
    </xf>
    <xf numFmtId="0" fontId="5" fillId="4" borderId="29" xfId="0" applyFont="1" applyFill="1" applyBorder="1" applyAlignment="1">
      <alignment horizontal="center" vertical="center"/>
    </xf>
    <xf numFmtId="0" fontId="5" fillId="4" borderId="53" xfId="0" applyFont="1" applyFill="1" applyBorder="1" applyAlignment="1">
      <alignment vertical="center"/>
    </xf>
    <xf numFmtId="4" fontId="9" fillId="3" borderId="52" xfId="0" applyNumberFormat="1" applyFont="1" applyFill="1" applyBorder="1" applyAlignment="1">
      <alignment horizontal="center" vertical="top"/>
    </xf>
    <xf numFmtId="4" fontId="9" fillId="0" borderId="52" xfId="0" applyNumberFormat="1" applyFont="1" applyBorder="1" applyAlignment="1">
      <alignment horizontal="center" vertical="top"/>
    </xf>
    <xf numFmtId="0" fontId="0" fillId="0" borderId="14" xfId="0" applyBorder="1"/>
    <xf numFmtId="4" fontId="9" fillId="0" borderId="52" xfId="0" applyNumberFormat="1" applyFont="1" applyFill="1" applyBorder="1" applyAlignment="1">
      <alignment horizontal="center" vertical="center"/>
    </xf>
    <xf numFmtId="4" fontId="6" fillId="0" borderId="52" xfId="0" applyNumberFormat="1" applyFont="1" applyFill="1" applyBorder="1" applyAlignment="1">
      <alignment horizontal="center" vertical="center"/>
    </xf>
    <xf numFmtId="4" fontId="6" fillId="0" borderId="52" xfId="0" applyNumberFormat="1" applyFont="1" applyBorder="1" applyAlignment="1">
      <alignment horizontal="center" vertical="top"/>
    </xf>
    <xf numFmtId="4" fontId="9" fillId="0" borderId="52" xfId="0" applyNumberFormat="1" applyFont="1" applyBorder="1" applyAlignment="1">
      <alignment horizontal="center" vertical="center"/>
    </xf>
    <xf numFmtId="4" fontId="9" fillId="0" borderId="52" xfId="0" applyNumberFormat="1" applyFont="1" applyFill="1" applyBorder="1" applyAlignment="1">
      <alignment horizontal="center" vertical="top"/>
    </xf>
    <xf numFmtId="4" fontId="9" fillId="5" borderId="52" xfId="0" applyNumberFormat="1" applyFont="1" applyFill="1" applyBorder="1" applyAlignment="1">
      <alignment horizontal="center" vertical="center"/>
    </xf>
    <xf numFmtId="0" fontId="0" fillId="0" borderId="47" xfId="0" applyBorder="1"/>
    <xf numFmtId="0" fontId="10" fillId="0" borderId="0" xfId="0" applyFont="1" applyBorder="1" applyAlignment="1">
      <alignment horizontal="left" vertical="center" wrapText="1"/>
    </xf>
    <xf numFmtId="0" fontId="6" fillId="0" borderId="47" xfId="0" applyFont="1" applyBorder="1" applyAlignment="1">
      <alignment horizontal="center" vertical="top"/>
    </xf>
    <xf numFmtId="0" fontId="2" fillId="0" borderId="47" xfId="0" applyFont="1" applyBorder="1"/>
    <xf numFmtId="0" fontId="6" fillId="4" borderId="42" xfId="0" applyFont="1" applyFill="1" applyBorder="1" applyAlignment="1">
      <alignment horizontal="center" vertical="top"/>
    </xf>
    <xf numFmtId="4" fontId="6" fillId="4" borderId="52" xfId="0" applyNumberFormat="1" applyFont="1" applyFill="1" applyBorder="1" applyAlignment="1">
      <alignment horizontal="center" vertical="center"/>
    </xf>
    <xf numFmtId="4" fontId="11" fillId="0" borderId="14" xfId="2" applyNumberFormat="1" applyFont="1" applyBorder="1" applyAlignment="1">
      <alignment vertical="top" wrapText="1"/>
    </xf>
    <xf numFmtId="0" fontId="11" fillId="10" borderId="47" xfId="2" applyFont="1" applyFill="1" applyBorder="1" applyAlignment="1">
      <alignment horizontal="center" vertical="top" wrapText="1"/>
    </xf>
    <xf numFmtId="4" fontId="11" fillId="10" borderId="14" xfId="2" applyNumberFormat="1" applyFont="1" applyFill="1" applyBorder="1" applyAlignment="1">
      <alignment horizontal="right" vertical="top" wrapText="1"/>
    </xf>
    <xf numFmtId="4" fontId="11" fillId="0" borderId="14" xfId="2" applyNumberFormat="1" applyFont="1" applyBorder="1" applyAlignment="1">
      <alignment horizontal="right" vertical="top" wrapText="1"/>
    </xf>
    <xf numFmtId="0" fontId="2" fillId="0" borderId="14" xfId="0" applyFont="1" applyBorder="1"/>
    <xf numFmtId="0" fontId="7" fillId="0" borderId="0" xfId="0" applyFont="1" applyBorder="1" applyAlignment="1">
      <alignment vertical="top"/>
    </xf>
    <xf numFmtId="0" fontId="7" fillId="0" borderId="14" xfId="0" applyFont="1" applyBorder="1" applyAlignment="1">
      <alignment vertical="top"/>
    </xf>
    <xf numFmtId="4" fontId="6" fillId="0" borderId="0" xfId="0" applyNumberFormat="1" applyFont="1" applyBorder="1" applyAlignment="1">
      <alignment vertical="center"/>
    </xf>
    <xf numFmtId="4" fontId="9" fillId="0" borderId="0" xfId="0" applyNumberFormat="1" applyFont="1" applyBorder="1" applyAlignment="1">
      <alignment horizontal="center" vertical="center"/>
    </xf>
    <xf numFmtId="4" fontId="6" fillId="0" borderId="0" xfId="0" applyNumberFormat="1" applyFont="1" applyBorder="1" applyAlignment="1">
      <alignment horizontal="center" vertical="center"/>
    </xf>
    <xf numFmtId="4" fontId="6" fillId="0" borderId="0" xfId="0" applyNumberFormat="1" applyFont="1" applyBorder="1"/>
    <xf numFmtId="4" fontId="9" fillId="0" borderId="0" xfId="0" applyNumberFormat="1" applyFont="1" applyBorder="1"/>
    <xf numFmtId="0" fontId="6" fillId="0" borderId="25" xfId="0" applyFont="1" applyBorder="1" applyAlignment="1">
      <alignment horizontal="center" vertical="top"/>
    </xf>
    <xf numFmtId="0" fontId="6" fillId="0" borderId="61" xfId="0" applyFont="1" applyBorder="1" applyAlignment="1">
      <alignment horizontal="center" vertical="top"/>
    </xf>
    <xf numFmtId="0" fontId="6" fillId="0" borderId="61" xfId="0" applyFont="1" applyBorder="1" applyAlignment="1">
      <alignment horizontal="left" vertical="top"/>
    </xf>
    <xf numFmtId="0" fontId="6" fillId="0" borderId="61" xfId="0" applyFont="1" applyBorder="1"/>
    <xf numFmtId="4" fontId="6" fillId="0" borderId="61" xfId="0" applyNumberFormat="1" applyFont="1" applyBorder="1" applyAlignment="1">
      <alignment horizontal="center" vertical="center"/>
    </xf>
    <xf numFmtId="4" fontId="6" fillId="0" borderId="62" xfId="0" applyNumberFormat="1" applyFont="1" applyBorder="1" applyAlignment="1">
      <alignment horizontal="center" vertical="center"/>
    </xf>
    <xf numFmtId="4" fontId="11" fillId="0" borderId="65" xfId="2" applyNumberFormat="1" applyFont="1" applyBorder="1" applyAlignment="1">
      <alignment horizontal="right" vertical="top" wrapText="1"/>
    </xf>
    <xf numFmtId="4" fontId="36" fillId="0" borderId="66" xfId="2" applyNumberFormat="1" applyFont="1" applyBorder="1" applyAlignment="1">
      <alignment vertical="top" wrapText="1"/>
    </xf>
    <xf numFmtId="4" fontId="11" fillId="0" borderId="66" xfId="2" applyNumberFormat="1" applyFont="1" applyBorder="1" applyAlignment="1">
      <alignment horizontal="right" vertical="top" wrapText="1"/>
    </xf>
    <xf numFmtId="4" fontId="11" fillId="0" borderId="65" xfId="2" applyNumberFormat="1" applyFont="1" applyBorder="1" applyAlignment="1">
      <alignment vertical="top" wrapText="1"/>
    </xf>
    <xf numFmtId="10" fontId="11" fillId="0" borderId="65" xfId="2" applyNumberFormat="1" applyFont="1" applyBorder="1" applyAlignment="1">
      <alignment vertical="top" wrapText="1"/>
    </xf>
    <xf numFmtId="4" fontId="11" fillId="0" borderId="66" xfId="2" applyNumberFormat="1" applyFont="1" applyBorder="1" applyAlignment="1">
      <alignment vertical="top" wrapText="1"/>
    </xf>
    <xf numFmtId="0" fontId="7" fillId="0" borderId="54" xfId="0" applyFont="1" applyBorder="1" applyAlignment="1">
      <alignment horizontal="center" vertical="top"/>
    </xf>
    <xf numFmtId="4" fontId="6" fillId="0" borderId="67" xfId="0" applyNumberFormat="1" applyFont="1" applyBorder="1" applyAlignment="1">
      <alignment vertical="center"/>
    </xf>
    <xf numFmtId="0" fontId="5" fillId="0" borderId="0" xfId="0" applyFont="1" applyFill="1" applyBorder="1" applyAlignment="1">
      <alignment horizontal="right" vertical="top" wrapText="1"/>
    </xf>
    <xf numFmtId="0" fontId="5" fillId="0" borderId="14" xfId="0" applyFont="1" applyFill="1" applyBorder="1" applyAlignment="1">
      <alignment horizontal="right" vertical="top" wrapText="1"/>
    </xf>
    <xf numFmtId="0" fontId="39" fillId="0" borderId="0" xfId="0" applyFont="1" applyAlignment="1">
      <alignment horizontal="center" vertical="center"/>
    </xf>
    <xf numFmtId="0" fontId="5" fillId="0" borderId="0" xfId="0" applyFont="1" applyFill="1" applyBorder="1" applyAlignment="1">
      <alignment vertical="top" wrapText="1"/>
    </xf>
    <xf numFmtId="0" fontId="5" fillId="0" borderId="14" xfId="0" applyFont="1" applyFill="1" applyBorder="1" applyAlignment="1">
      <alignment vertical="top" wrapText="1"/>
    </xf>
    <xf numFmtId="0" fontId="32" fillId="0" borderId="4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xf>
    <xf numFmtId="17" fontId="40" fillId="0" borderId="14" xfId="0" applyNumberFormat="1" applyFont="1" applyFill="1" applyBorder="1" applyAlignment="1">
      <alignment horizontal="left" vertical="center" wrapText="1"/>
    </xf>
    <xf numFmtId="17" fontId="40" fillId="0" borderId="0" xfId="0" applyNumberFormat="1" applyFont="1" applyFill="1" applyBorder="1" applyAlignment="1">
      <alignment horizontal="left" vertical="center" wrapText="1"/>
    </xf>
    <xf numFmtId="0" fontId="6" fillId="0" borderId="70" xfId="0" applyFont="1" applyBorder="1" applyAlignment="1">
      <alignment horizontal="center" vertical="top"/>
    </xf>
    <xf numFmtId="0" fontId="7" fillId="0" borderId="70" xfId="0" applyFont="1" applyBorder="1" applyAlignment="1">
      <alignment horizontal="left" vertical="top" wrapText="1"/>
    </xf>
    <xf numFmtId="0" fontId="7" fillId="0" borderId="70" xfId="0" applyFont="1" applyBorder="1" applyAlignment="1">
      <alignment horizontal="center" vertical="top"/>
    </xf>
    <xf numFmtId="4" fontId="6" fillId="0" borderId="70" xfId="0" applyNumberFormat="1" applyFont="1" applyBorder="1" applyAlignment="1">
      <alignment horizontal="center" vertical="top"/>
    </xf>
    <xf numFmtId="4" fontId="6" fillId="0" borderId="70" xfId="0" applyNumberFormat="1" applyFont="1" applyBorder="1" applyAlignment="1">
      <alignment horizontal="right" vertical="top"/>
    </xf>
    <xf numFmtId="0" fontId="11" fillId="0" borderId="71" xfId="2" applyFont="1" applyBorder="1" applyAlignment="1">
      <alignment horizontal="center" vertical="top" wrapText="1"/>
    </xf>
    <xf numFmtId="4" fontId="11" fillId="0" borderId="71" xfId="2" applyNumberFormat="1" applyFont="1" applyBorder="1" applyAlignment="1">
      <alignment horizontal="center" vertical="top" wrapText="1"/>
    </xf>
    <xf numFmtId="4" fontId="6" fillId="0" borderId="72" xfId="0" applyNumberFormat="1" applyFont="1" applyBorder="1" applyAlignment="1">
      <alignment horizontal="right" vertical="top"/>
    </xf>
    <xf numFmtId="0" fontId="11" fillId="0" borderId="73" xfId="2" applyFont="1" applyBorder="1" applyAlignment="1">
      <alignment horizontal="center" vertical="top" wrapText="1"/>
    </xf>
    <xf numFmtId="0" fontId="11" fillId="0" borderId="71" xfId="2" applyFont="1" applyBorder="1" applyAlignment="1">
      <alignment vertical="top" wrapText="1"/>
    </xf>
    <xf numFmtId="4" fontId="6" fillId="0" borderId="71" xfId="0" applyNumberFormat="1" applyFont="1" applyBorder="1" applyAlignment="1">
      <alignment horizontal="center" vertical="top"/>
    </xf>
    <xf numFmtId="4" fontId="6" fillId="0" borderId="71" xfId="0" applyNumberFormat="1" applyFont="1" applyBorder="1" applyAlignment="1">
      <alignment horizontal="right" vertical="top"/>
    </xf>
    <xf numFmtId="4" fontId="6" fillId="0" borderId="72" xfId="0" applyNumberFormat="1" applyFont="1" applyBorder="1" applyAlignment="1">
      <alignment horizontal="center" vertical="center"/>
    </xf>
    <xf numFmtId="4" fontId="6" fillId="0" borderId="72" xfId="0" applyNumberFormat="1" applyFont="1" applyBorder="1" applyAlignment="1">
      <alignment horizontal="center" vertical="top"/>
    </xf>
    <xf numFmtId="4" fontId="9" fillId="5" borderId="72" xfId="0" applyNumberFormat="1" applyFont="1" applyFill="1" applyBorder="1" applyAlignment="1">
      <alignment horizontal="center" vertical="top"/>
    </xf>
    <xf numFmtId="4" fontId="6" fillId="0" borderId="74" xfId="0" applyNumberFormat="1" applyFont="1" applyBorder="1" applyAlignment="1">
      <alignment horizontal="center" vertical="center"/>
    </xf>
    <xf numFmtId="4" fontId="6" fillId="0" borderId="74" xfId="0" applyNumberFormat="1" applyFont="1" applyBorder="1" applyAlignment="1">
      <alignment horizontal="center" vertical="top"/>
    </xf>
    <xf numFmtId="0" fontId="6" fillId="0" borderId="75" xfId="0" applyFont="1" applyBorder="1" applyAlignment="1">
      <alignment horizontal="center" vertical="top"/>
    </xf>
    <xf numFmtId="0" fontId="7" fillId="0" borderId="75" xfId="0" applyFont="1" applyBorder="1" applyAlignment="1">
      <alignment horizontal="left" vertical="top" wrapText="1"/>
    </xf>
    <xf numFmtId="0" fontId="7" fillId="0" borderId="75" xfId="0" applyFont="1" applyBorder="1" applyAlignment="1">
      <alignment horizontal="center"/>
    </xf>
    <xf numFmtId="4" fontId="6" fillId="0" borderId="75" xfId="0" applyNumberFormat="1" applyFont="1" applyBorder="1" applyAlignment="1">
      <alignment horizontal="center" vertical="center"/>
    </xf>
    <xf numFmtId="0" fontId="7" fillId="0" borderId="75" xfId="0" applyFont="1" applyBorder="1" applyAlignment="1">
      <alignment horizontal="center" vertical="top"/>
    </xf>
    <xf numFmtId="4" fontId="9" fillId="5" borderId="74" xfId="0" applyNumberFormat="1" applyFont="1" applyFill="1" applyBorder="1" applyAlignment="1">
      <alignment horizontal="center" vertical="top"/>
    </xf>
    <xf numFmtId="0" fontId="11" fillId="0" borderId="76" xfId="2" applyFont="1" applyBorder="1" applyAlignment="1">
      <alignment horizontal="center" vertical="top" wrapText="1"/>
    </xf>
    <xf numFmtId="4" fontId="11" fillId="0" borderId="76" xfId="2" applyNumberFormat="1" applyFont="1" applyBorder="1" applyAlignment="1">
      <alignment horizontal="center" vertical="top" wrapText="1"/>
    </xf>
    <xf numFmtId="4" fontId="11" fillId="0" borderId="76" xfId="2" applyNumberFormat="1" applyFont="1" applyBorder="1" applyAlignment="1">
      <alignment vertical="top" wrapText="1"/>
    </xf>
    <xf numFmtId="4" fontId="37" fillId="0" borderId="76" xfId="2" applyNumberFormat="1" applyFont="1" applyBorder="1" applyAlignment="1">
      <alignment horizontal="right" vertical="top" wrapText="1"/>
    </xf>
    <xf numFmtId="4" fontId="6" fillId="0" borderId="70" xfId="0" applyNumberFormat="1" applyFont="1" applyBorder="1" applyAlignment="1">
      <alignment horizontal="center" vertical="center"/>
    </xf>
    <xf numFmtId="0" fontId="0" fillId="0" borderId="66" xfId="0" applyBorder="1"/>
    <xf numFmtId="4" fontId="6" fillId="0" borderId="28" xfId="0" applyNumberFormat="1" applyFont="1" applyBorder="1" applyAlignment="1">
      <alignment horizontal="center" vertical="center"/>
    </xf>
    <xf numFmtId="0" fontId="7" fillId="0" borderId="77" xfId="0" applyFont="1" applyBorder="1" applyAlignment="1">
      <alignment horizontal="center" vertical="top"/>
    </xf>
    <xf numFmtId="4" fontId="6" fillId="0" borderId="67" xfId="0" applyNumberFormat="1" applyFont="1" applyBorder="1" applyAlignment="1">
      <alignment horizontal="center" vertical="center"/>
    </xf>
    <xf numFmtId="4" fontId="6" fillId="0" borderId="77" xfId="0" applyNumberFormat="1" applyFont="1" applyBorder="1" applyAlignment="1">
      <alignment vertical="center"/>
    </xf>
    <xf numFmtId="4" fontId="9" fillId="0" borderId="72" xfId="0" applyNumberFormat="1" applyFont="1" applyBorder="1" applyAlignment="1">
      <alignment horizontal="center" vertical="top"/>
    </xf>
    <xf numFmtId="0" fontId="1" fillId="0" borderId="0" xfId="1"/>
    <xf numFmtId="0" fontId="3" fillId="0" borderId="18" xfId="1" applyFont="1" applyBorder="1" applyAlignment="1">
      <alignment horizontal="center" vertical="center" wrapText="1"/>
    </xf>
    <xf numFmtId="4" fontId="1" fillId="0" borderId="0" xfId="1" applyNumberFormat="1"/>
    <xf numFmtId="4" fontId="42" fillId="0" borderId="2" xfId="1" applyNumberFormat="1" applyFont="1" applyBorder="1" applyAlignment="1">
      <alignment horizontal="center" vertical="top" wrapText="1"/>
    </xf>
    <xf numFmtId="4" fontId="42" fillId="0" borderId="2" xfId="1" applyNumberFormat="1" applyFont="1" applyBorder="1" applyAlignment="1">
      <alignment horizontal="center" vertical="center" wrapText="1"/>
    </xf>
    <xf numFmtId="4" fontId="43" fillId="0" borderId="2" xfId="1" applyNumberFormat="1" applyFont="1" applyBorder="1" applyAlignment="1">
      <alignment horizontal="center" vertical="center" wrapText="1"/>
    </xf>
    <xf numFmtId="10" fontId="42" fillId="0" borderId="2" xfId="1" applyNumberFormat="1" applyFont="1" applyBorder="1" applyAlignment="1">
      <alignment horizontal="center" vertical="top" wrapText="1"/>
    </xf>
    <xf numFmtId="0" fontId="32" fillId="0" borderId="14" xfId="0" applyFont="1" applyFill="1" applyBorder="1" applyAlignment="1">
      <alignment vertical="center" wrapText="1"/>
    </xf>
    <xf numFmtId="0" fontId="1" fillId="0" borderId="47" xfId="1" applyBorder="1"/>
    <xf numFmtId="0" fontId="1" fillId="0" borderId="0" xfId="1" applyBorder="1"/>
    <xf numFmtId="0" fontId="1" fillId="0" borderId="14" xfId="1" applyBorder="1"/>
    <xf numFmtId="0" fontId="42" fillId="0" borderId="29" xfId="1" applyFont="1" applyBorder="1" applyAlignment="1">
      <alignment horizontal="center" vertical="top" wrapText="1"/>
    </xf>
    <xf numFmtId="10" fontId="42" fillId="0" borderId="53" xfId="1" applyNumberFormat="1" applyFont="1" applyBorder="1" applyAlignment="1">
      <alignment horizontal="center" vertical="center" wrapText="1"/>
    </xf>
    <xf numFmtId="10" fontId="42" fillId="0" borderId="26" xfId="1" applyNumberFormat="1" applyFont="1" applyBorder="1" applyAlignment="1">
      <alignment horizontal="center" vertical="top" wrapText="1"/>
    </xf>
    <xf numFmtId="0" fontId="42" fillId="0" borderId="60" xfId="1" applyFont="1" applyBorder="1" applyAlignment="1">
      <alignment horizontal="center" vertical="top" wrapText="1"/>
    </xf>
    <xf numFmtId="0" fontId="42" fillId="0" borderId="19" xfId="1" applyFont="1" applyBorder="1" applyAlignment="1">
      <alignment vertical="top" wrapText="1"/>
    </xf>
    <xf numFmtId="0" fontId="42" fillId="0" borderId="78" xfId="1" applyFont="1" applyBorder="1" applyAlignment="1">
      <alignment vertical="top" wrapText="1"/>
    </xf>
    <xf numFmtId="0" fontId="42" fillId="0" borderId="42" xfId="1" applyFont="1" applyBorder="1" applyAlignment="1">
      <alignment vertical="top" wrapText="1"/>
    </xf>
    <xf numFmtId="0" fontId="42" fillId="0" borderId="25" xfId="1" applyFont="1" applyBorder="1" applyAlignment="1">
      <alignment vertical="top" wrapText="1"/>
    </xf>
    <xf numFmtId="0" fontId="32" fillId="0" borderId="0" xfId="0" applyFont="1" applyFill="1" applyBorder="1" applyAlignment="1">
      <alignment horizontal="left" vertical="center" wrapText="1"/>
    </xf>
    <xf numFmtId="0" fontId="3" fillId="0" borderId="0" xfId="1" applyFont="1" applyAlignment="1">
      <alignment horizontal="center" vertical="center"/>
    </xf>
    <xf numFmtId="0" fontId="42" fillId="0" borderId="16" xfId="1" applyFont="1" applyBorder="1" applyAlignment="1">
      <alignment horizontal="left" vertical="top"/>
    </xf>
    <xf numFmtId="0" fontId="42" fillId="0" borderId="16" xfId="1" applyFont="1" applyBorder="1" applyAlignment="1">
      <alignment horizontal="left" vertical="top" wrapText="1"/>
    </xf>
    <xf numFmtId="0" fontId="43" fillId="0" borderId="16" xfId="1" applyFont="1" applyBorder="1" applyAlignment="1">
      <alignment horizontal="center" vertical="top" wrapText="1"/>
    </xf>
    <xf numFmtId="0" fontId="43" fillId="0" borderId="80" xfId="1" applyFont="1" applyBorder="1" applyAlignment="1">
      <alignment horizontal="center" vertical="top" wrapText="1"/>
    </xf>
    <xf numFmtId="4" fontId="42" fillId="0" borderId="29" xfId="1" applyNumberFormat="1" applyFont="1" applyBorder="1" applyAlignment="1">
      <alignment horizontal="center" vertical="center" wrapText="1"/>
    </xf>
    <xf numFmtId="4" fontId="42" fillId="0" borderId="29" xfId="1" applyNumberFormat="1" applyFont="1" applyBorder="1" applyAlignment="1">
      <alignment vertical="top" wrapText="1"/>
    </xf>
    <xf numFmtId="4" fontId="42" fillId="0" borderId="2" xfId="1" applyNumberFormat="1" applyFont="1" applyBorder="1" applyAlignment="1">
      <alignment vertical="top" wrapText="1"/>
    </xf>
    <xf numFmtId="0" fontId="42" fillId="0" borderId="53" xfId="1" applyFont="1" applyBorder="1" applyAlignment="1">
      <alignment vertical="top" wrapText="1"/>
    </xf>
    <xf numFmtId="4" fontId="42" fillId="0" borderId="29" xfId="1" applyNumberFormat="1" applyFont="1" applyBorder="1" applyAlignment="1">
      <alignment horizontal="center" vertical="top" wrapText="1"/>
    </xf>
    <xf numFmtId="10" fontId="42" fillId="0" borderId="29" xfId="1" applyNumberFormat="1" applyFont="1" applyBorder="1" applyAlignment="1">
      <alignment horizontal="center" vertical="top" wrapText="1"/>
    </xf>
    <xf numFmtId="10" fontId="42" fillId="0" borderId="18" xfId="1" applyNumberFormat="1" applyFont="1" applyBorder="1" applyAlignment="1">
      <alignment vertical="top" wrapText="1"/>
    </xf>
    <xf numFmtId="10" fontId="42" fillId="0" borderId="79" xfId="1" applyNumberFormat="1" applyFont="1" applyBorder="1" applyAlignment="1">
      <alignment vertical="top" wrapText="1"/>
    </xf>
    <xf numFmtId="0" fontId="42" fillId="0" borderId="3" xfId="1" applyFont="1" applyBorder="1" applyAlignment="1">
      <alignment vertical="top" wrapText="1"/>
    </xf>
    <xf numFmtId="0" fontId="42" fillId="0" borderId="52" xfId="1" applyFont="1" applyBorder="1" applyAlignment="1">
      <alignment vertical="top" wrapText="1"/>
    </xf>
    <xf numFmtId="10" fontId="42" fillId="0" borderId="81" xfId="1" applyNumberFormat="1" applyFont="1" applyBorder="1" applyAlignment="1">
      <alignment horizontal="center" vertical="top" wrapText="1"/>
    </xf>
    <xf numFmtId="0" fontId="42" fillId="0" borderId="61" xfId="1" applyFont="1" applyBorder="1" applyAlignment="1">
      <alignment vertical="top" wrapText="1"/>
    </xf>
    <xf numFmtId="0" fontId="42" fillId="0" borderId="62" xfId="1" applyFont="1" applyBorder="1" applyAlignment="1">
      <alignment vertical="top" wrapText="1"/>
    </xf>
    <xf numFmtId="0" fontId="32" fillId="0" borderId="0" xfId="0" applyFont="1" applyFill="1" applyBorder="1" applyAlignment="1">
      <alignment horizontal="right" vertical="center" wrapText="1"/>
    </xf>
    <xf numFmtId="0" fontId="32" fillId="0" borderId="4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5" fillId="4" borderId="60"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41" fillId="0" borderId="68"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1" fillId="0" borderId="69" xfId="0" applyFont="1" applyFill="1" applyBorder="1" applyAlignment="1">
      <alignment horizontal="center" vertical="center" wrapText="1"/>
    </xf>
    <xf numFmtId="0" fontId="7" fillId="0" borderId="8" xfId="0" applyFont="1" applyBorder="1" applyAlignment="1">
      <alignment horizontal="center" vertical="top"/>
    </xf>
    <xf numFmtId="0" fontId="7" fillId="0" borderId="9" xfId="0" applyFont="1" applyBorder="1" applyAlignment="1">
      <alignment horizontal="center" vertical="top"/>
    </xf>
    <xf numFmtId="4" fontId="9" fillId="0" borderId="11" xfId="0" applyNumberFormat="1" applyFont="1" applyBorder="1" applyAlignment="1">
      <alignment horizontal="center" vertical="center"/>
    </xf>
    <xf numFmtId="4" fontId="9" fillId="0" borderId="12" xfId="0" applyNumberFormat="1" applyFont="1" applyBorder="1" applyAlignment="1">
      <alignment horizontal="center" vertical="center"/>
    </xf>
    <xf numFmtId="4" fontId="6" fillId="0" borderId="16" xfId="0" applyNumberFormat="1" applyFont="1" applyBorder="1" applyAlignment="1">
      <alignment horizontal="center" vertical="center"/>
    </xf>
    <xf numFmtId="4" fontId="6" fillId="0" borderId="17" xfId="0" applyNumberFormat="1" applyFont="1" applyBorder="1" applyAlignment="1">
      <alignment horizontal="center" vertical="center"/>
    </xf>
    <xf numFmtId="4" fontId="6" fillId="0" borderId="18" xfId="0" applyNumberFormat="1" applyFont="1" applyBorder="1" applyAlignment="1">
      <alignment horizontal="center" vertical="center"/>
    </xf>
    <xf numFmtId="4" fontId="6" fillId="0" borderId="75" xfId="0" applyNumberFormat="1" applyFont="1" applyBorder="1" applyAlignment="1">
      <alignment horizontal="center" vertical="center"/>
    </xf>
    <xf numFmtId="4" fontId="6" fillId="0" borderId="2" xfId="0" applyNumberFormat="1" applyFont="1" applyBorder="1" applyAlignment="1">
      <alignment horizontal="center" vertical="center"/>
    </xf>
    <xf numFmtId="4" fontId="6" fillId="0" borderId="8" xfId="0" applyNumberFormat="1" applyFont="1" applyBorder="1" applyAlignment="1">
      <alignment horizontal="center" vertical="center"/>
    </xf>
    <xf numFmtId="4" fontId="6" fillId="0" borderId="14" xfId="0" applyNumberFormat="1" applyFont="1" applyBorder="1" applyAlignment="1">
      <alignment horizontal="center" vertical="center"/>
    </xf>
    <xf numFmtId="2" fontId="6" fillId="0" borderId="15" xfId="0" applyNumberFormat="1" applyFont="1" applyBorder="1" applyAlignment="1">
      <alignment horizontal="center"/>
    </xf>
    <xf numFmtId="2" fontId="6" fillId="0" borderId="13" xfId="0" applyNumberFormat="1" applyFont="1" applyBorder="1" applyAlignment="1">
      <alignment horizontal="center"/>
    </xf>
    <xf numFmtId="4" fontId="6" fillId="0" borderId="15" xfId="0" applyNumberFormat="1" applyFont="1" applyBorder="1" applyAlignment="1">
      <alignment horizontal="center" vertical="center"/>
    </xf>
    <xf numFmtId="4" fontId="6" fillId="0" borderId="13" xfId="0" applyNumberFormat="1" applyFont="1" applyBorder="1" applyAlignment="1">
      <alignment horizontal="center" vertical="center"/>
    </xf>
    <xf numFmtId="4" fontId="6" fillId="0" borderId="3" xfId="0" applyNumberFormat="1" applyFont="1" applyBorder="1" applyAlignment="1">
      <alignment horizontal="center" vertical="center"/>
    </xf>
    <xf numFmtId="4" fontId="6" fillId="0" borderId="6" xfId="0" applyNumberFormat="1" applyFont="1" applyBorder="1" applyAlignment="1">
      <alignment horizontal="center" vertical="center"/>
    </xf>
    <xf numFmtId="4" fontId="6" fillId="0" borderId="7" xfId="0" applyNumberFormat="1" applyFont="1" applyBorder="1" applyAlignment="1">
      <alignment horizontal="center" vertical="center"/>
    </xf>
    <xf numFmtId="0" fontId="3" fillId="6" borderId="29" xfId="1" applyFont="1" applyFill="1" applyBorder="1" applyAlignment="1">
      <alignment horizontal="center" vertical="center" wrapText="1"/>
    </xf>
    <xf numFmtId="0" fontId="3" fillId="6" borderId="78" xfId="1" applyFont="1" applyFill="1" applyBorder="1" applyAlignment="1">
      <alignment horizontal="center" vertical="center" wrapText="1"/>
    </xf>
    <xf numFmtId="0" fontId="3" fillId="0" borderId="2" xfId="1" applyFont="1" applyBorder="1" applyAlignment="1">
      <alignment horizontal="center" vertical="center" wrapText="1"/>
    </xf>
    <xf numFmtId="0" fontId="3" fillId="0" borderId="18" xfId="1" applyFont="1" applyBorder="1" applyAlignment="1">
      <alignment horizontal="center" vertical="center" wrapText="1"/>
    </xf>
    <xf numFmtId="0" fontId="3" fillId="0" borderId="53" xfId="1" applyFont="1" applyBorder="1" applyAlignment="1">
      <alignment horizontal="center" vertical="center" wrapText="1"/>
    </xf>
    <xf numFmtId="0" fontId="3" fillId="0" borderId="79" xfId="1" applyFont="1" applyBorder="1" applyAlignment="1">
      <alignment horizontal="center" vertical="center" wrapText="1"/>
    </xf>
    <xf numFmtId="0" fontId="3" fillId="0" borderId="16" xfId="1" applyFont="1" applyBorder="1" applyAlignment="1">
      <alignment horizontal="center" vertical="center" wrapText="1"/>
    </xf>
    <xf numFmtId="0" fontId="3" fillId="0" borderId="19" xfId="1" applyFont="1" applyBorder="1" applyAlignment="1">
      <alignment horizontal="center" vertical="center" wrapText="1"/>
    </xf>
    <xf numFmtId="0" fontId="3" fillId="0" borderId="17" xfId="1" applyFont="1" applyBorder="1" applyAlignment="1">
      <alignment horizontal="center" vertical="center" wrapText="1"/>
    </xf>
    <xf numFmtId="0" fontId="32" fillId="0" borderId="14" xfId="0" applyFont="1" applyFill="1" applyBorder="1" applyAlignment="1">
      <alignment horizontal="left" vertical="center" wrapText="1"/>
    </xf>
    <xf numFmtId="0" fontId="32" fillId="0" borderId="14" xfId="0" applyFont="1" applyFill="1" applyBorder="1" applyAlignment="1">
      <alignment horizontal="right" vertical="center" wrapText="1"/>
    </xf>
    <xf numFmtId="0" fontId="12" fillId="0" borderId="0" xfId="1" applyFont="1" applyFill="1" applyBorder="1" applyAlignment="1">
      <alignment horizontal="left" vertical="center" wrapText="1"/>
    </xf>
    <xf numFmtId="0" fontId="12" fillId="0" borderId="0" xfId="1" applyFont="1" applyAlignment="1">
      <alignment horizontal="left" vertical="center"/>
    </xf>
    <xf numFmtId="0" fontId="15" fillId="0" borderId="0" xfId="1" applyFont="1" applyAlignment="1">
      <alignment horizontal="center" vertical="center" wrapText="1"/>
    </xf>
    <xf numFmtId="0" fontId="12" fillId="6" borderId="19" xfId="1" applyFont="1" applyFill="1" applyBorder="1" applyAlignment="1" applyProtection="1">
      <alignment horizontal="left" vertical="center" wrapText="1"/>
      <protection locked="0"/>
    </xf>
    <xf numFmtId="9" fontId="12" fillId="6" borderId="19" xfId="1" applyNumberFormat="1" applyFont="1" applyFill="1" applyBorder="1" applyAlignment="1" applyProtection="1">
      <alignment horizontal="left" vertical="center" wrapText="1"/>
      <protection locked="0"/>
    </xf>
    <xf numFmtId="0" fontId="15" fillId="2" borderId="20" xfId="1" applyFont="1" applyFill="1" applyBorder="1" applyAlignment="1">
      <alignment horizontal="center" vertical="center" wrapText="1"/>
    </xf>
    <xf numFmtId="0" fontId="15" fillId="2" borderId="2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8" fillId="2" borderId="24" xfId="1" applyFont="1" applyFill="1" applyBorder="1" applyAlignment="1">
      <alignment horizontal="center" vertical="center" wrapText="1"/>
    </xf>
    <xf numFmtId="0" fontId="18" fillId="2" borderId="28" xfId="1" applyFont="1" applyFill="1" applyBorder="1" applyAlignment="1">
      <alignment horizontal="center" vertical="center" wrapText="1"/>
    </xf>
    <xf numFmtId="0" fontId="29" fillId="0" borderId="0" xfId="1" applyFont="1" applyBorder="1" applyAlignment="1">
      <alignment vertical="center" wrapText="1"/>
    </xf>
    <xf numFmtId="0" fontId="27" fillId="0" borderId="0" xfId="1" applyFont="1" applyAlignment="1">
      <alignment horizontal="left" vertical="center"/>
    </xf>
    <xf numFmtId="0" fontId="27" fillId="0" borderId="16" xfId="1" applyFont="1" applyBorder="1" applyAlignment="1">
      <alignment horizontal="left" vertical="center" wrapText="1"/>
    </xf>
    <xf numFmtId="0" fontId="27" fillId="0" borderId="19" xfId="1" applyFont="1" applyBorder="1" applyAlignment="1">
      <alignment horizontal="left" vertical="center" wrapText="1"/>
    </xf>
    <xf numFmtId="0" fontId="27" fillId="0" borderId="17" xfId="1" applyFont="1" applyBorder="1" applyAlignment="1">
      <alignment horizontal="left" vertical="center" wrapText="1"/>
    </xf>
    <xf numFmtId="0" fontId="28" fillId="0" borderId="36" xfId="1" applyFont="1" applyBorder="1" applyAlignment="1">
      <alignment horizontal="center" vertical="center"/>
    </xf>
    <xf numFmtId="0" fontId="27" fillId="7" borderId="0" xfId="1" applyFont="1" applyFill="1" applyBorder="1" applyAlignment="1" applyProtection="1">
      <alignment horizontal="center" vertical="center"/>
      <protection locked="0"/>
    </xf>
    <xf numFmtId="0" fontId="19" fillId="7" borderId="0" xfId="1" applyFont="1" applyFill="1" applyAlignment="1" applyProtection="1">
      <alignment horizontal="center" vertical="center"/>
      <protection locked="0"/>
    </xf>
    <xf numFmtId="0" fontId="20" fillId="8" borderId="0" xfId="1" applyFont="1" applyFill="1" applyAlignment="1">
      <alignment horizontal="left" vertical="center" wrapText="1"/>
    </xf>
    <xf numFmtId="0" fontId="31" fillId="0" borderId="0" xfId="1" applyFont="1" applyBorder="1" applyAlignment="1">
      <alignment horizontal="left" vertical="center"/>
    </xf>
    <xf numFmtId="0" fontId="29" fillId="0" borderId="0" xfId="1" applyFont="1" applyBorder="1" applyAlignment="1">
      <alignment horizontal="center" vertical="center" wrapText="1"/>
    </xf>
    <xf numFmtId="0" fontId="1" fillId="0" borderId="2" xfId="1" applyFont="1" applyBorder="1" applyAlignment="1">
      <alignment horizontal="center"/>
    </xf>
    <xf numFmtId="0" fontId="1" fillId="0" borderId="0" xfId="1" applyFont="1" applyAlignment="1">
      <alignment horizontal="center" vertical="center" wrapText="1"/>
    </xf>
  </cellXfs>
  <cellStyles count="5">
    <cellStyle name="Normal" xfId="0" builtinId="0"/>
    <cellStyle name="Normal 2" xfId="1"/>
    <cellStyle name="Normal 3" xfId="2"/>
    <cellStyle name="Título 1 1" xfId="3"/>
    <cellStyle name="Título 5" xfId="4"/>
  </cellStyles>
  <dxfs count="2">
    <dxf>
      <fill>
        <patternFill>
          <bgColor indexed="11"/>
        </patternFill>
      </fill>
    </dxf>
    <dxf>
      <font>
        <condense val="0"/>
        <extend val="0"/>
        <color auto="1"/>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1533525</xdr:colOff>
      <xdr:row>28</xdr:row>
      <xdr:rowOff>114300</xdr:rowOff>
    </xdr:from>
    <xdr:to>
      <xdr:col>3</xdr:col>
      <xdr:colOff>76200</xdr:colOff>
      <xdr:row>31</xdr:row>
      <xdr:rowOff>0</xdr:rowOff>
    </xdr:to>
    <xdr:pic>
      <xdr:nvPicPr>
        <xdr:cNvPr id="2" name="Picture 3">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33525" y="8601075"/>
          <a:ext cx="29527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552450</xdr:colOff>
      <xdr:row>20</xdr:row>
      <xdr:rowOff>28575</xdr:rowOff>
    </xdr:from>
    <xdr:to>
      <xdr:col>14</xdr:col>
      <xdr:colOff>114300</xdr:colOff>
      <xdr:row>21</xdr:row>
      <xdr:rowOff>247650</xdr:rowOff>
    </xdr:to>
    <xdr:sp macro="" textlink="">
      <xdr:nvSpPr>
        <xdr:cNvPr id="3" name="AutoShape 23">
          <a:extLst>
            <a:ext uri="{FF2B5EF4-FFF2-40B4-BE49-F238E27FC236}">
              <a16:creationId xmlns:a16="http://schemas.microsoft.com/office/drawing/2014/main" xmlns="" id="{00000000-0008-0000-0200-000003000000}"/>
            </a:ext>
          </a:extLst>
        </xdr:cNvPr>
        <xdr:cNvSpPr>
          <a:spLocks noChangeArrowheads="1"/>
        </xdr:cNvSpPr>
      </xdr:nvSpPr>
      <xdr:spPr bwMode="auto">
        <a:xfrm>
          <a:off x="7219950" y="5934075"/>
          <a:ext cx="5162550" cy="419100"/>
        </a:xfrm>
        <a:prstGeom prst="leftArrowCallout">
          <a:avLst>
            <a:gd name="adj1" fmla="val 25000"/>
            <a:gd name="adj2" fmla="val 25000"/>
            <a:gd name="adj3" fmla="val 205303"/>
            <a:gd name="adj4" fmla="val 66667"/>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OS PERCENTUAIS DE ISS FORAM CALCULADOS CONSIDERANDO QUE A MÃO-DE-OBRA CORRESPONDE A BASE DE CÁLCULO DO PREÇO TOTAL DA OBRA DECLARADO PELO TOMADOR.</a:t>
          </a:r>
        </a:p>
      </xdr:txBody>
    </xdr:sp>
    <xdr:clientData/>
  </xdr:twoCellAnchor>
  <xdr:twoCellAnchor>
    <xdr:from>
      <xdr:col>5</xdr:col>
      <xdr:colOff>85725</xdr:colOff>
      <xdr:row>22</xdr:row>
      <xdr:rowOff>447675</xdr:rowOff>
    </xdr:from>
    <xdr:to>
      <xdr:col>13</xdr:col>
      <xdr:colOff>257175</xdr:colOff>
      <xdr:row>23</xdr:row>
      <xdr:rowOff>161925</xdr:rowOff>
    </xdr:to>
    <xdr:sp macro="" textlink="">
      <xdr:nvSpPr>
        <xdr:cNvPr id="4" name="AutoShape 25">
          <a:extLst>
            <a:ext uri="{FF2B5EF4-FFF2-40B4-BE49-F238E27FC236}">
              <a16:creationId xmlns:a16="http://schemas.microsoft.com/office/drawing/2014/main" xmlns="" id="{00000000-0008-0000-0200-000004000000}"/>
            </a:ext>
          </a:extLst>
        </xdr:cNvPr>
        <xdr:cNvSpPr>
          <a:spLocks noChangeArrowheads="1"/>
        </xdr:cNvSpPr>
      </xdr:nvSpPr>
      <xdr:spPr bwMode="auto">
        <a:xfrm>
          <a:off x="6753225" y="6934200"/>
          <a:ext cx="5162550" cy="323850"/>
        </a:xfrm>
        <a:prstGeom prst="leftArrowCallout">
          <a:avLst>
            <a:gd name="adj1" fmla="val 25000"/>
            <a:gd name="adj2" fmla="val 25000"/>
            <a:gd name="adj3" fmla="val 265686"/>
            <a:gd name="adj4" fmla="val 66667"/>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O VALOR DO BDI SÓ É CALCULADO APÓS O PREENCHIMENTO DE TODAS AS CÉLULAS EM AMARELO!</a:t>
          </a:r>
        </a:p>
      </xdr:txBody>
    </xdr:sp>
    <xdr:clientData/>
  </xdr:twoCellAnchor>
  <xdr:twoCellAnchor>
    <xdr:from>
      <xdr:col>0</xdr:col>
      <xdr:colOff>28575</xdr:colOff>
      <xdr:row>0</xdr:row>
      <xdr:rowOff>85725</xdr:rowOff>
    </xdr:from>
    <xdr:to>
      <xdr:col>5</xdr:col>
      <xdr:colOff>9525</xdr:colOff>
      <xdr:row>0</xdr:row>
      <xdr:rowOff>666750</xdr:rowOff>
    </xdr:to>
    <xdr:sp macro="" textlink="">
      <xdr:nvSpPr>
        <xdr:cNvPr id="5" name="AutoShape 27">
          <a:extLst>
            <a:ext uri="{FF2B5EF4-FFF2-40B4-BE49-F238E27FC236}">
              <a16:creationId xmlns:a16="http://schemas.microsoft.com/office/drawing/2014/main" xmlns="" id="{00000000-0008-0000-0200-000005000000}"/>
            </a:ext>
          </a:extLst>
        </xdr:cNvPr>
        <xdr:cNvSpPr>
          <a:spLocks noChangeArrowheads="1"/>
        </xdr:cNvSpPr>
      </xdr:nvSpPr>
      <xdr:spPr bwMode="auto">
        <a:xfrm>
          <a:off x="28575" y="85725"/>
          <a:ext cx="6648450" cy="581025"/>
        </a:xfrm>
        <a:prstGeom prst="roundRect">
          <a:avLst>
            <a:gd name="adj" fmla="val 16667"/>
          </a:avLst>
        </a:prstGeom>
        <a:solidFill>
          <a:srgbClr val="0000FF"/>
        </a:solidFill>
        <a:ln w="9525">
          <a:solidFill>
            <a:srgbClr val="000000"/>
          </a:solidFill>
          <a:round/>
          <a:headEnd/>
          <a:tailEnd/>
        </a:ln>
      </xdr:spPr>
      <xdr:txBody>
        <a:bodyPr vertOverflow="clip" wrap="square" lIns="36576" tIns="32004" rIns="36576" bIns="0" anchor="t" upright="1"/>
        <a:lstStyle/>
        <a:p>
          <a:pPr algn="ctr" rtl="0">
            <a:defRPr sz="1000"/>
          </a:pPr>
          <a:r>
            <a:rPr lang="en-US" sz="1600" b="0" i="0" u="none" strike="noStrike" baseline="0">
              <a:solidFill>
                <a:srgbClr val="FF9900"/>
              </a:solidFill>
              <a:latin typeface="Arial"/>
              <a:cs typeface="Arial"/>
            </a:rPr>
            <a:t>**********ALTERAR SOMENTE AS CÉLULAS AMARELAS***********</a:t>
          </a:r>
        </a:p>
        <a:p>
          <a:pPr algn="ctr" rtl="0">
            <a:defRPr sz="1000"/>
          </a:pPr>
          <a:r>
            <a:rPr lang="en-US" sz="1600" b="0" i="0" u="none" strike="noStrike" baseline="0">
              <a:solidFill>
                <a:srgbClr val="FF9900"/>
              </a:solidFill>
              <a:latin typeface="Arial"/>
              <a:cs typeface="Arial"/>
            </a:rPr>
            <a:t>(Atentar para as observações nos quadros na lateral direita!)</a:t>
          </a:r>
        </a:p>
      </xdr:txBody>
    </xdr:sp>
    <xdr:clientData/>
  </xdr:twoCellAnchor>
  <xdr:twoCellAnchor>
    <xdr:from>
      <xdr:col>7</xdr:col>
      <xdr:colOff>180975</xdr:colOff>
      <xdr:row>25</xdr:row>
      <xdr:rowOff>180975</xdr:rowOff>
    </xdr:from>
    <xdr:to>
      <xdr:col>13</xdr:col>
      <xdr:colOff>247650</xdr:colOff>
      <xdr:row>28</xdr:row>
      <xdr:rowOff>57150</xdr:rowOff>
    </xdr:to>
    <xdr:sp macro="" textlink="">
      <xdr:nvSpPr>
        <xdr:cNvPr id="6" name="AutoShape 30">
          <a:extLst>
            <a:ext uri="{FF2B5EF4-FFF2-40B4-BE49-F238E27FC236}">
              <a16:creationId xmlns:a16="http://schemas.microsoft.com/office/drawing/2014/main" xmlns="" id="{00000000-0008-0000-0200-000006000000}"/>
            </a:ext>
          </a:extLst>
        </xdr:cNvPr>
        <xdr:cNvSpPr>
          <a:spLocks/>
        </xdr:cNvSpPr>
      </xdr:nvSpPr>
      <xdr:spPr bwMode="auto">
        <a:xfrm>
          <a:off x="8181975" y="8105775"/>
          <a:ext cx="3724275" cy="438150"/>
        </a:xfrm>
        <a:prstGeom prst="borderCallout2">
          <a:avLst>
            <a:gd name="adj1" fmla="val 26088"/>
            <a:gd name="adj2" fmla="val -2046"/>
            <a:gd name="adj3" fmla="val 26088"/>
            <a:gd name="adj4" fmla="val -23019"/>
            <a:gd name="adj5" fmla="val -13042"/>
            <a:gd name="adj6" fmla="val -39898"/>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SE O BDI CALCULADO ESTIVER NO INTERVALO DE LIMITES DO BDI ESTA CÉLULA INDICARÁ "OK", CASO CONTRÁRIO INDICARÁ "INADEQUADO" E OS COMPONENTES DO BDI DEVEM SER REDISTRIBUÍDOS ATÉ QUE TODAS OS LIMITANTES ACEITOS PELO TCU SEJAM ATENDIDOS!</a:t>
          </a:r>
        </a:p>
      </xdr:txBody>
    </xdr:sp>
    <xdr:clientData/>
  </xdr:twoCellAnchor>
  <xdr:twoCellAnchor>
    <xdr:from>
      <xdr:col>0</xdr:col>
      <xdr:colOff>0</xdr:colOff>
      <xdr:row>47</xdr:row>
      <xdr:rowOff>66675</xdr:rowOff>
    </xdr:from>
    <xdr:to>
      <xdr:col>4</xdr:col>
      <xdr:colOff>1209675</xdr:colOff>
      <xdr:row>49</xdr:row>
      <xdr:rowOff>133350</xdr:rowOff>
    </xdr:to>
    <xdr:sp macro="" textlink="">
      <xdr:nvSpPr>
        <xdr:cNvPr id="7" name="AutoShape 31">
          <a:extLst>
            <a:ext uri="{FF2B5EF4-FFF2-40B4-BE49-F238E27FC236}">
              <a16:creationId xmlns:a16="http://schemas.microsoft.com/office/drawing/2014/main" xmlns="" id="{00000000-0008-0000-0200-000007000000}"/>
            </a:ext>
          </a:extLst>
        </xdr:cNvPr>
        <xdr:cNvSpPr>
          <a:spLocks noChangeArrowheads="1"/>
        </xdr:cNvSpPr>
      </xdr:nvSpPr>
      <xdr:spPr bwMode="auto">
        <a:xfrm>
          <a:off x="0" y="12734925"/>
          <a:ext cx="6648450" cy="552450"/>
        </a:xfrm>
        <a:prstGeom prst="roundRect">
          <a:avLst>
            <a:gd name="adj" fmla="val 16667"/>
          </a:avLst>
        </a:prstGeom>
        <a:solidFill>
          <a:srgbClr val="0000FF"/>
        </a:solidFill>
        <a:ln w="9525">
          <a:solidFill>
            <a:srgbClr val="000000"/>
          </a:solidFill>
          <a:round/>
          <a:headEnd/>
          <a:tailEnd/>
        </a:ln>
      </xdr:spPr>
      <xdr:txBody>
        <a:bodyPr vertOverflow="clip" wrap="square" lIns="27432" tIns="18288" rIns="0" bIns="0" anchor="t" upright="1"/>
        <a:lstStyle/>
        <a:p>
          <a:pPr algn="l" rtl="0">
            <a:defRPr sz="1000"/>
          </a:pPr>
          <a:r>
            <a:rPr lang="en-US" sz="700" b="1" i="0" u="none" strike="noStrike" baseline="0">
              <a:solidFill>
                <a:srgbClr val="FF9900"/>
              </a:solidFill>
              <a:latin typeface="Arial"/>
              <a:cs typeface="Arial"/>
            </a:rPr>
            <a:t>OBS:</a:t>
          </a:r>
        </a:p>
        <a:p>
          <a:pPr algn="l" rtl="0">
            <a:defRPr sz="1000"/>
          </a:pPr>
          <a:r>
            <a:rPr lang="en-US" sz="700" b="1" i="0" u="none" strike="noStrike" baseline="0">
              <a:solidFill>
                <a:srgbClr val="FF9900"/>
              </a:solidFill>
              <a:latin typeface="Arial"/>
              <a:cs typeface="Arial"/>
            </a:rPr>
            <a:t>(*) - PODE HAVER GARANTIA DESDE QUE PREVISTO NO EDITAL DA LICITAÇÃO E NO CONTRATO DE EXECUÇÃO.</a:t>
          </a:r>
        </a:p>
        <a:p>
          <a:pPr algn="l" rtl="0">
            <a:defRPr sz="1000"/>
          </a:pPr>
          <a:r>
            <a:rPr lang="en-US" sz="700" b="1" i="0" u="none" strike="noStrike" baseline="0">
              <a:solidFill>
                <a:srgbClr val="FF9900"/>
              </a:solidFill>
              <a:latin typeface="Arial"/>
              <a:cs typeface="Arial"/>
            </a:rPr>
            <a:t>(**) - PODEM SER ACEITOS OUTROS PERCENTUAIS DE ISS DESDE QUE DEVIDAMENTE EMBASADOS NA LEGISLAÇÃO MUNICIPAL.</a:t>
          </a:r>
        </a:p>
      </xdr:txBody>
    </xdr:sp>
    <xdr:clientData/>
  </xdr:twoCellAnchor>
  <xdr:twoCellAnchor>
    <xdr:from>
      <xdr:col>6</xdr:col>
      <xdr:colOff>276225</xdr:colOff>
      <xdr:row>12</xdr:row>
      <xdr:rowOff>295275</xdr:rowOff>
    </xdr:from>
    <xdr:to>
      <xdr:col>19</xdr:col>
      <xdr:colOff>428625</xdr:colOff>
      <xdr:row>19</xdr:row>
      <xdr:rowOff>152400</xdr:rowOff>
    </xdr:to>
    <xdr:sp macro="" textlink="">
      <xdr:nvSpPr>
        <xdr:cNvPr id="8" name="AutoShape 34">
          <a:extLst>
            <a:ext uri="{FF2B5EF4-FFF2-40B4-BE49-F238E27FC236}">
              <a16:creationId xmlns:a16="http://schemas.microsoft.com/office/drawing/2014/main" xmlns="" id="{00000000-0008-0000-0200-000008000000}"/>
            </a:ext>
          </a:extLst>
        </xdr:cNvPr>
        <xdr:cNvSpPr>
          <a:spLocks/>
        </xdr:cNvSpPr>
      </xdr:nvSpPr>
      <xdr:spPr bwMode="auto">
        <a:xfrm>
          <a:off x="7543800" y="4343400"/>
          <a:ext cx="8201025" cy="1514475"/>
        </a:xfrm>
        <a:prstGeom prst="borderCallout2">
          <a:avLst>
            <a:gd name="adj1" fmla="val 7546"/>
            <a:gd name="adj2" fmla="val -931"/>
            <a:gd name="adj3" fmla="val 7546"/>
            <a:gd name="adj4" fmla="val -4528"/>
            <a:gd name="adj5" fmla="val -52199"/>
            <a:gd name="adj6" fmla="val -8245"/>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Foi publicada, em 19 de julho de 2013, a Lei n° 12.844/2013 que altera os artigos 7º, 8º, 9º e o Anexo I da Lei n° 12.546/2011 e o artigo 14, da Lei n° 11.774/2008, alterando os setores a serem beneficiados com o regime de desoneração da folha de pagamentos que substitui a contribuição previdenciária patronal de 20%, sobre o total da folha de pagamento pela contribuição previdenciária sobre a receita bruta.</a:t>
          </a:r>
        </a:p>
        <a:p>
          <a:pPr algn="l" rtl="0">
            <a:defRPr sz="1000"/>
          </a:pPr>
          <a:r>
            <a:rPr lang="en-US" sz="600" b="1" i="0" u="none" strike="noStrike" baseline="0">
              <a:solidFill>
                <a:srgbClr val="FF9900"/>
              </a:solidFill>
              <a:latin typeface="Arial"/>
              <a:cs typeface="Arial"/>
            </a:rPr>
            <a:t>Com essa alteração os setores a seguir ficam sujeitos ao recolhimento da contribuição previdenciária à alíquota de 2% sobre o valor da receita bruta.</a:t>
          </a:r>
        </a:p>
        <a:p>
          <a:pPr algn="l" rtl="0">
            <a:defRPr sz="1000"/>
          </a:pPr>
          <a:r>
            <a:rPr lang="en-US" sz="600" b="1" i="0" u="none" strike="noStrike" baseline="0">
              <a:solidFill>
                <a:srgbClr val="FF9900"/>
              </a:solidFill>
              <a:latin typeface="Arial"/>
              <a:cs typeface="Arial"/>
            </a:rPr>
            <a:t>=&gt;Construção Civil, enquadrados nos seguintes grupos da CNAE 2.0: </a:t>
          </a:r>
        </a:p>
        <a:p>
          <a:pPr algn="l" rtl="0">
            <a:defRPr sz="1000"/>
          </a:pPr>
          <a:r>
            <a:rPr lang="en-US" sz="600" b="1" i="0" u="none" strike="noStrike" baseline="0">
              <a:solidFill>
                <a:srgbClr val="FF9900"/>
              </a:solidFill>
              <a:latin typeface="Arial"/>
              <a:cs typeface="Arial"/>
            </a:rPr>
            <a:t>- 412 – Construção de Edifícios;</a:t>
          </a:r>
        </a:p>
        <a:p>
          <a:pPr algn="l" rtl="0">
            <a:defRPr sz="1000"/>
          </a:pPr>
          <a:r>
            <a:rPr lang="en-US" sz="600" b="1" i="0" u="none" strike="noStrike" baseline="0">
              <a:solidFill>
                <a:srgbClr val="FF9900"/>
              </a:solidFill>
              <a:latin typeface="Arial"/>
              <a:cs typeface="Arial"/>
            </a:rPr>
            <a:t>- 432 – Instalações Elétricas, Hidráulicas e Outras Instalações em Construções;</a:t>
          </a:r>
        </a:p>
        <a:p>
          <a:pPr algn="l" rtl="0">
            <a:defRPr sz="1000"/>
          </a:pPr>
          <a:r>
            <a:rPr lang="en-US" sz="600" b="1" i="0" u="none" strike="noStrike" baseline="0">
              <a:solidFill>
                <a:srgbClr val="FF9900"/>
              </a:solidFill>
              <a:latin typeface="Arial"/>
              <a:cs typeface="Arial"/>
            </a:rPr>
            <a:t>- 433 – Obras de Acabamento;</a:t>
          </a:r>
        </a:p>
        <a:p>
          <a:pPr algn="l" rtl="0">
            <a:defRPr sz="1000"/>
          </a:pPr>
          <a:r>
            <a:rPr lang="en-US" sz="600" b="1" i="0" u="none" strike="noStrike" baseline="0">
              <a:solidFill>
                <a:srgbClr val="FF9900"/>
              </a:solidFill>
              <a:latin typeface="Arial"/>
              <a:cs typeface="Arial"/>
            </a:rPr>
            <a:t>- 439 – Outros Serviços Especializados para Construção (4391-6 – Obras de Fundações e 4399-1 – Serviços Especializados para Construção não especificados anteriormente).</a:t>
          </a:r>
        </a:p>
        <a:p>
          <a:pPr algn="l" rtl="0">
            <a:defRPr sz="1000"/>
          </a:pPr>
          <a:r>
            <a:rPr lang="en-US" sz="600" b="1" i="0" u="none" strike="noStrike" baseline="0">
              <a:solidFill>
                <a:srgbClr val="FF9900"/>
              </a:solidFill>
              <a:latin typeface="Arial"/>
              <a:cs typeface="Arial"/>
            </a:rPr>
            <a:t>=&gt;Construção de Obras de Infraestrutura, enquadrados nos seguintes grupos da CNAE 2.0:</a:t>
          </a:r>
        </a:p>
        <a:p>
          <a:pPr algn="l" rtl="0">
            <a:defRPr sz="1000"/>
          </a:pPr>
          <a:r>
            <a:rPr lang="en-US" sz="600" b="1" i="0" u="none" strike="noStrike" baseline="0">
              <a:solidFill>
                <a:srgbClr val="FF9900"/>
              </a:solidFill>
              <a:latin typeface="Arial"/>
              <a:cs typeface="Arial"/>
            </a:rPr>
            <a:t>- 421 – Construção de Rodovias, Ferrovias, Obras Urbanas e Obras-de-Arte Especiais;</a:t>
          </a:r>
        </a:p>
        <a:p>
          <a:pPr algn="l" rtl="0">
            <a:defRPr sz="1000"/>
          </a:pPr>
          <a:r>
            <a:rPr lang="en-US" sz="600" b="1" i="0" u="none" strike="noStrike" baseline="0">
              <a:solidFill>
                <a:srgbClr val="FF9900"/>
              </a:solidFill>
              <a:latin typeface="Arial"/>
              <a:cs typeface="Arial"/>
            </a:rPr>
            <a:t>- 422 – Obras de Infra-Estrutura para Energia Elétrica, Telecomunicações, Água, Esgoto e Transporte Por Dutos;</a:t>
          </a:r>
        </a:p>
        <a:p>
          <a:pPr algn="l" rtl="0">
            <a:defRPr sz="1000"/>
          </a:pPr>
          <a:r>
            <a:rPr lang="en-US" sz="600" b="1" i="0" u="none" strike="noStrike" baseline="0">
              <a:solidFill>
                <a:srgbClr val="FF9900"/>
              </a:solidFill>
              <a:latin typeface="Arial"/>
              <a:cs typeface="Arial"/>
            </a:rPr>
            <a:t>- 429 – Construção de Outras Obras de Infra-Estrutura;</a:t>
          </a:r>
        </a:p>
        <a:p>
          <a:pPr algn="l" rtl="0">
            <a:defRPr sz="1000"/>
          </a:pPr>
          <a:r>
            <a:rPr lang="en-US" sz="600" b="1" i="0" u="none" strike="noStrike" baseline="0">
              <a:solidFill>
                <a:srgbClr val="FF9900"/>
              </a:solidFill>
              <a:latin typeface="Arial"/>
              <a:cs typeface="Arial"/>
            </a:rPr>
            <a:t>- 431 – Demolição e Preparação do Terreno</a:t>
          </a:r>
        </a:p>
      </xdr:txBody>
    </xdr:sp>
    <xdr:clientData/>
  </xdr:twoCellAnchor>
  <xdr:twoCellAnchor>
    <xdr:from>
      <xdr:col>6</xdr:col>
      <xdr:colOff>428625</xdr:colOff>
      <xdr:row>0</xdr:row>
      <xdr:rowOff>123825</xdr:rowOff>
    </xdr:from>
    <xdr:to>
      <xdr:col>20</xdr:col>
      <xdr:colOff>171450</xdr:colOff>
      <xdr:row>12</xdr:row>
      <xdr:rowOff>228600</xdr:rowOff>
    </xdr:to>
    <xdr:sp macro="" textlink="">
      <xdr:nvSpPr>
        <xdr:cNvPr id="9" name="AutoShape 35">
          <a:extLst>
            <a:ext uri="{FF2B5EF4-FFF2-40B4-BE49-F238E27FC236}">
              <a16:creationId xmlns:a16="http://schemas.microsoft.com/office/drawing/2014/main" xmlns="" id="{00000000-0008-0000-0200-000009000000}"/>
            </a:ext>
          </a:extLst>
        </xdr:cNvPr>
        <xdr:cNvSpPr>
          <a:spLocks/>
        </xdr:cNvSpPr>
      </xdr:nvSpPr>
      <xdr:spPr bwMode="auto">
        <a:xfrm>
          <a:off x="7696200" y="123825"/>
          <a:ext cx="8401050" cy="4152900"/>
        </a:xfrm>
        <a:prstGeom prst="borderCallout2">
          <a:avLst>
            <a:gd name="adj1" fmla="val 3380"/>
            <a:gd name="adj2" fmla="val -907"/>
            <a:gd name="adj3" fmla="val 3380"/>
            <a:gd name="adj4" fmla="val -3514"/>
            <a:gd name="adj5" fmla="val 56056"/>
            <a:gd name="adj6" fmla="val -5667"/>
          </a:avLst>
        </a:prstGeom>
        <a:solidFill>
          <a:srgbClr val="0000FF"/>
        </a:solidFill>
        <a:ln w="9525">
          <a:solidFill>
            <a:srgbClr val="000000"/>
          </a:solidFill>
          <a:miter lim="800000"/>
          <a:headEnd/>
          <a:tailEnd/>
        </a:ln>
      </xdr:spPr>
      <xdr:txBody>
        <a:bodyPr vertOverflow="clip" wrap="square" lIns="27432" tIns="18288" rIns="0" bIns="0" anchor="t" upright="1"/>
        <a:lstStyle/>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Construção de Edifícios</a:t>
          </a:r>
          <a:r>
            <a:rPr lang="en-US" sz="600" b="1" i="0" u="none" strike="noStrike" baseline="0">
              <a:solidFill>
                <a:srgbClr val="FF9900"/>
              </a:solidFill>
              <a:latin typeface="Arial"/>
              <a:cs typeface="Arial"/>
            </a:rPr>
            <a:t>” enquadram-se: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etc.), penitenciárias e presídios, a construção de edifícios industriais (fábricas, oficinas, galpões industriais, etc.), conforme classificação 4120-4 do CNAE 2.0. Também enquadram-se pórticos, mirantes e outros edifícios de finalidade turística.</a:t>
          </a:r>
        </a:p>
        <a:p>
          <a:pPr algn="l" rtl="0">
            <a:defRPr sz="1000"/>
          </a:pPr>
          <a:endParaRPr lang="en-US" sz="600" b="1" i="0" u="none" strike="noStrike" baseline="0">
            <a:solidFill>
              <a:srgbClr val="FF9900"/>
            </a:solidFill>
            <a:latin typeface="Arial"/>
            <a:cs typeface="Arial"/>
          </a:endParaRPr>
        </a:p>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Construção de Rodovias e Ferrovias</a:t>
          </a:r>
          <a:r>
            <a:rPr lang="en-US" sz="600" b="1" i="0" u="none" strike="noStrike" baseline="0">
              <a:solidFill>
                <a:srgbClr val="FF9900"/>
              </a:solidFill>
              <a:latin typeface="Arial"/>
              <a:cs typeface="Arial"/>
            </a:rPr>
            <a:t>” enquadram-se: a construção e recuperação de: auto-estradas, rodovias e outras vias não-urbanas para passagem de veículos, vias férreas de superfície ou subterrâneas (inclusive para metropolitanos), pistas de aeroportos. Esta classe compreende também: a pavimentação de auto-estradas, rodovias e outras vias não-urbanas;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Também enquadram-se a construção, pavimentação e sinalização de vias urbanas, ruas e locais para estacionamento de veículos; a construção de praças e calçadas para pedestres; elevados, passarelas e ciclovias; metrô e VLT.</a:t>
          </a:r>
        </a:p>
        <a:p>
          <a:pPr algn="l" rtl="0">
            <a:defRPr sz="1000"/>
          </a:pPr>
          <a:endParaRPr lang="en-US" sz="600" b="1" i="0" u="none" strike="noStrike" baseline="0">
            <a:solidFill>
              <a:srgbClr val="FF9900"/>
            </a:solidFill>
            <a:latin typeface="Arial"/>
            <a:cs typeface="Arial"/>
          </a:endParaRPr>
        </a:p>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Construção de Redes de Abastecimento de Água, Coleta de Esgoto e Construções Correlatas</a:t>
          </a:r>
          <a:r>
            <a:rPr lang="en-US" sz="600" b="1" i="0" u="none" strike="noStrike" baseline="0">
              <a:solidFill>
                <a:srgbClr val="FF9900"/>
              </a:solidFill>
              <a:latin typeface="Arial"/>
              <a:cs typeface="Arial"/>
            </a:rPr>
            <a:t>” enquadram-se: a construção de sistemas para o abastecimento de água tratada: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 drenagem). Esta classe compreende também: as obras de irrigação (canais); a manutenção de redes de abastecimento de água tratada; a manutenção de redes de coleta e de sistemas de tratamento de esgoto, conforme classificação 4222-7 do CNAE 2.0. Enquadra-se ainda a construção de estações de tratamento de água (ETA).</a:t>
          </a:r>
        </a:p>
        <a:p>
          <a:pPr algn="l" rtl="0">
            <a:defRPr sz="1000"/>
          </a:pPr>
          <a:endParaRPr lang="en-US" sz="600" b="1" i="0" u="none" strike="noStrike" baseline="0">
            <a:solidFill>
              <a:srgbClr val="FF9900"/>
            </a:solidFill>
            <a:latin typeface="Arial"/>
            <a:cs typeface="Arial"/>
          </a:endParaRPr>
        </a:p>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Construção e Manutenção de Estações e Redes de Distribuição de Energia Elétrica</a:t>
          </a:r>
          <a:r>
            <a:rPr lang="en-US" sz="600" b="1" i="0" u="none" strike="noStrike" baseline="0">
              <a:solidFill>
                <a:srgbClr val="FF9900"/>
              </a:solidFill>
              <a:latin typeface="Arial"/>
              <a:cs typeface="Arial"/>
            </a:rPr>
            <a:t>” enquadram-se: a construção de usinas, estações e subestações hidrelétricas, eólicas, nucleares, termoelétricas; a construção de redes de transmissão e distribuição de energia elétrica, inclusive o serviço de eletrificação rural. Esta subclasse compreende também: a construção de redes de eletrificação para ferrovias e metropolitano, conforme classificação 4221-9/02 do CNAE 2.0. Compreende ainda: a manutenção de redes de distribuição de energia elétrica, quando executada por empresa não-produtora ou distribuidora de energia elétrica, conforme classificação 4221-9/03 do CNAE 2.0. Enquadram-se também obras de iluminação pública e a construção de barragens e represas para geração de energia elétrica.</a:t>
          </a:r>
        </a:p>
        <a:p>
          <a:pPr algn="l" rtl="0">
            <a:defRPr sz="1000"/>
          </a:pPr>
          <a:endParaRPr lang="en-US" sz="600" b="1" i="0" u="none" strike="noStrike" baseline="0">
            <a:solidFill>
              <a:srgbClr val="FF9900"/>
            </a:solidFill>
            <a:latin typeface="Arial"/>
            <a:cs typeface="Arial"/>
          </a:endParaRPr>
        </a:p>
        <a:p>
          <a:pPr algn="l" rtl="0">
            <a:defRPr sz="1000"/>
          </a:pPr>
          <a:r>
            <a:rPr lang="en-US" sz="600" b="1" i="0" u="none" strike="noStrike" baseline="0">
              <a:solidFill>
                <a:srgbClr val="FF9900"/>
              </a:solidFill>
              <a:latin typeface="Arial"/>
              <a:cs typeface="Arial"/>
            </a:rPr>
            <a:t>=&gt; Para o tipo de obra “</a:t>
          </a:r>
          <a:r>
            <a:rPr lang="en-US" sz="600" b="1" i="0" u="sng" strike="noStrike" baseline="0">
              <a:solidFill>
                <a:srgbClr val="FF9900"/>
              </a:solidFill>
              <a:latin typeface="Arial"/>
              <a:cs typeface="Arial"/>
            </a:rPr>
            <a:t>Portuárias, Marítimas e Fluviais</a:t>
          </a:r>
          <a:r>
            <a:rPr lang="en-US" sz="600" b="1" i="0" u="none" strike="noStrike" baseline="0">
              <a:solidFill>
                <a:srgbClr val="FF9900"/>
              </a:solidFill>
              <a:latin typeface="Arial"/>
              <a:cs typeface="Arial"/>
            </a:rPr>
            <a:t>” enquadram-se: as obras marítimas e fluviais, tais como, construção de instalações portuárias; construção de portos e marinas; construção de eclusas e canais de navegação (vias navegáveis); enrocamentos; obras de dragagem; aterro hidráulico; barragens, represas e diques, exceto para energia elétrica; a construção de emissários submarinos; a instalação de cabos submarinos, conforme classificação 4291-0 do CNAE 2.0. Enquadram-se também a construção de piers e outras obras com influência direta de cursos d’água.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227;o\Documents\Backup%20Jo&#227;o\Meus%20Documentos%20Jo&#227;o\OBRAS\Or&#231;amento%20Fundo\BDI\Detalhamento%20do%20B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I sem justificativa"/>
      <sheetName val="Base dados - TCU 2622_2013"/>
    </sheetNames>
    <sheetDataSet>
      <sheetData sheetId="0"/>
      <sheetData sheetId="1">
        <row r="7">
          <cell r="A7" t="str">
            <v>Construção de Edifícios e Reformas (Quadras, unidades habitacionais, escolas, restaurantes, etc)</v>
          </cell>
          <cell r="B7">
            <v>3</v>
          </cell>
          <cell r="C7">
            <v>4</v>
          </cell>
          <cell r="D7">
            <v>5.5</v>
          </cell>
          <cell r="E7">
            <v>0.8</v>
          </cell>
          <cell r="F7">
            <v>0.8</v>
          </cell>
          <cell r="G7">
            <v>1</v>
          </cell>
          <cell r="H7">
            <v>0.97</v>
          </cell>
          <cell r="I7">
            <v>1.27</v>
          </cell>
          <cell r="J7">
            <v>1.27</v>
          </cell>
          <cell r="K7">
            <v>0.59</v>
          </cell>
          <cell r="L7">
            <v>1.23</v>
          </cell>
          <cell r="M7">
            <v>1.39</v>
          </cell>
          <cell r="N7">
            <v>6.16</v>
          </cell>
          <cell r="O7">
            <v>7.4</v>
          </cell>
          <cell r="P7">
            <v>8.9600000000000009</v>
          </cell>
          <cell r="Q7">
            <v>3</v>
          </cell>
          <cell r="R7">
            <v>0.65</v>
          </cell>
          <cell r="S7">
            <v>2</v>
          </cell>
          <cell r="T7">
            <v>3.5</v>
          </cell>
          <cell r="U7">
            <v>5</v>
          </cell>
          <cell r="V7">
            <v>2</v>
          </cell>
          <cell r="W7">
            <v>20.34</v>
          </cell>
          <cell r="X7">
            <v>22.12</v>
          </cell>
          <cell r="Y7">
            <v>25</v>
          </cell>
        </row>
        <row r="8">
          <cell r="A8" t="str">
            <v>Construção de Praças</v>
          </cell>
          <cell r="B8">
            <v>3.8</v>
          </cell>
          <cell r="C8">
            <v>4.01</v>
          </cell>
          <cell r="D8">
            <v>4.67</v>
          </cell>
          <cell r="E8">
            <v>0.32</v>
          </cell>
          <cell r="F8">
            <v>0.4</v>
          </cell>
          <cell r="G8">
            <v>0.74</v>
          </cell>
          <cell r="H8">
            <v>0.5</v>
          </cell>
          <cell r="I8">
            <v>0.56000000000000005</v>
          </cell>
          <cell r="J8">
            <v>0.97</v>
          </cell>
          <cell r="K8">
            <v>1.02</v>
          </cell>
          <cell r="L8">
            <v>1.1100000000000001</v>
          </cell>
          <cell r="M8">
            <v>1.21</v>
          </cell>
          <cell r="N8">
            <v>6.64</v>
          </cell>
          <cell r="O8">
            <v>7.3</v>
          </cell>
          <cell r="P8">
            <v>8.69</v>
          </cell>
          <cell r="Q8">
            <v>3</v>
          </cell>
          <cell r="R8">
            <v>0.65</v>
          </cell>
          <cell r="S8">
            <v>2</v>
          </cell>
          <cell r="T8">
            <v>3.5</v>
          </cell>
          <cell r="U8">
            <v>5</v>
          </cell>
          <cell r="V8">
            <v>2</v>
          </cell>
          <cell r="W8">
            <v>19.600000000000001</v>
          </cell>
          <cell r="X8">
            <v>20.97</v>
          </cell>
          <cell r="Y8">
            <v>24.23</v>
          </cell>
        </row>
        <row r="9">
          <cell r="A9" t="str">
            <v>Construção de Rodovias (Pavimentação Urbana)</v>
          </cell>
          <cell r="B9">
            <v>3.8</v>
          </cell>
          <cell r="C9">
            <v>4.01</v>
          </cell>
          <cell r="D9">
            <v>4.67</v>
          </cell>
          <cell r="E9">
            <v>0.32</v>
          </cell>
          <cell r="F9">
            <v>0.4</v>
          </cell>
          <cell r="G9">
            <v>0.74</v>
          </cell>
          <cell r="H9">
            <v>0.5</v>
          </cell>
          <cell r="I9">
            <v>0.56000000000000005</v>
          </cell>
          <cell r="J9">
            <v>0.97</v>
          </cell>
          <cell r="K9">
            <v>1.02</v>
          </cell>
          <cell r="L9">
            <v>1.1100000000000001</v>
          </cell>
          <cell r="M9">
            <v>1.21</v>
          </cell>
          <cell r="N9">
            <v>6.64</v>
          </cell>
          <cell r="O9">
            <v>7.3</v>
          </cell>
          <cell r="P9">
            <v>8.69</v>
          </cell>
          <cell r="Q9">
            <v>3</v>
          </cell>
          <cell r="R9">
            <v>0.65</v>
          </cell>
          <cell r="S9">
            <v>2</v>
          </cell>
          <cell r="T9">
            <v>3.5</v>
          </cell>
          <cell r="U9">
            <v>5</v>
          </cell>
          <cell r="V9">
            <v>2</v>
          </cell>
          <cell r="W9">
            <v>19.600000000000001</v>
          </cell>
          <cell r="X9">
            <v>20.97</v>
          </cell>
          <cell r="Y9">
            <v>24.23</v>
          </cell>
        </row>
        <row r="10">
          <cell r="A10" t="str">
            <v>Construção de Ferrovias</v>
          </cell>
          <cell r="B10">
            <v>3.8</v>
          </cell>
          <cell r="C10">
            <v>4.01</v>
          </cell>
          <cell r="D10">
            <v>4.67</v>
          </cell>
          <cell r="E10">
            <v>0.32</v>
          </cell>
          <cell r="F10">
            <v>0.4</v>
          </cell>
          <cell r="G10">
            <v>0.74</v>
          </cell>
          <cell r="H10">
            <v>0.5</v>
          </cell>
          <cell r="I10">
            <v>0.56000000000000005</v>
          </cell>
          <cell r="J10">
            <v>0.97</v>
          </cell>
          <cell r="K10">
            <v>1.02</v>
          </cell>
          <cell r="L10">
            <v>1.1100000000000001</v>
          </cell>
          <cell r="M10">
            <v>1.21</v>
          </cell>
          <cell r="N10">
            <v>6.64</v>
          </cell>
          <cell r="O10">
            <v>7.3</v>
          </cell>
          <cell r="P10">
            <v>8.69</v>
          </cell>
          <cell r="Q10">
            <v>3</v>
          </cell>
          <cell r="R10">
            <v>0.65</v>
          </cell>
          <cell r="S10">
            <v>2</v>
          </cell>
          <cell r="T10">
            <v>3.5</v>
          </cell>
          <cell r="U10">
            <v>5</v>
          </cell>
          <cell r="V10">
            <v>2</v>
          </cell>
          <cell r="W10">
            <v>19.600000000000001</v>
          </cell>
          <cell r="X10">
            <v>20.97</v>
          </cell>
          <cell r="Y10">
            <v>24.23</v>
          </cell>
        </row>
        <row r="11">
          <cell r="A11" t="str">
            <v>Construção de Redes de Abastecimento de Água, Coleta de Esgoto e Construções Correlatas</v>
          </cell>
          <cell r="B11">
            <v>3.43</v>
          </cell>
          <cell r="C11">
            <v>4.93</v>
          </cell>
          <cell r="D11">
            <v>6.71</v>
          </cell>
          <cell r="E11">
            <v>0.28000000000000003</v>
          </cell>
          <cell r="F11">
            <v>0.49</v>
          </cell>
          <cell r="G11">
            <v>0.75</v>
          </cell>
          <cell r="H11">
            <v>1</v>
          </cell>
          <cell r="I11">
            <v>1.39</v>
          </cell>
          <cell r="J11">
            <v>1.74</v>
          </cell>
          <cell r="K11">
            <v>0.94</v>
          </cell>
          <cell r="L11">
            <v>0.99</v>
          </cell>
          <cell r="M11">
            <v>1.17</v>
          </cell>
          <cell r="N11">
            <v>6.74</v>
          </cell>
          <cell r="O11">
            <v>8.0399999999999991</v>
          </cell>
          <cell r="P11">
            <v>9.4</v>
          </cell>
          <cell r="Q11">
            <v>3</v>
          </cell>
          <cell r="R11">
            <v>0.65</v>
          </cell>
          <cell r="S11">
            <v>2</v>
          </cell>
          <cell r="T11">
            <v>3.5</v>
          </cell>
          <cell r="U11">
            <v>5</v>
          </cell>
          <cell r="V11">
            <v>2</v>
          </cell>
          <cell r="W11">
            <v>20.76</v>
          </cell>
          <cell r="X11">
            <v>24.18</v>
          </cell>
          <cell r="Y11">
            <v>26.44</v>
          </cell>
        </row>
        <row r="12">
          <cell r="A12" t="str">
            <v>Construção e Manutenção de Estações e Redes de Distribuição de Energia Elétrica</v>
          </cell>
          <cell r="B12">
            <v>5.29</v>
          </cell>
          <cell r="C12">
            <v>5.92</v>
          </cell>
          <cell r="D12">
            <v>7.93</v>
          </cell>
          <cell r="E12">
            <v>0.25</v>
          </cell>
          <cell r="F12">
            <v>0.51</v>
          </cell>
          <cell r="G12">
            <v>0.56000000000000005</v>
          </cell>
          <cell r="H12">
            <v>1</v>
          </cell>
          <cell r="I12">
            <v>1.48</v>
          </cell>
          <cell r="J12">
            <v>1.97</v>
          </cell>
          <cell r="K12">
            <v>1.01</v>
          </cell>
          <cell r="L12">
            <v>1.07</v>
          </cell>
          <cell r="M12">
            <v>1.1100000000000001</v>
          </cell>
          <cell r="N12">
            <v>8</v>
          </cell>
          <cell r="O12">
            <v>8.31</v>
          </cell>
          <cell r="P12">
            <v>9.51</v>
          </cell>
          <cell r="Q12">
            <v>3</v>
          </cell>
          <cell r="R12">
            <v>0.65</v>
          </cell>
          <cell r="S12">
            <v>2</v>
          </cell>
          <cell r="T12">
            <v>3.5</v>
          </cell>
          <cell r="U12">
            <v>5</v>
          </cell>
          <cell r="V12">
            <v>2</v>
          </cell>
          <cell r="W12">
            <v>24</v>
          </cell>
          <cell r="X12">
            <v>25.84</v>
          </cell>
          <cell r="Y12">
            <v>27.86</v>
          </cell>
        </row>
        <row r="13">
          <cell r="A13" t="str">
            <v>Portuárias, Marítimas e Fluviais</v>
          </cell>
          <cell r="B13">
            <v>4</v>
          </cell>
          <cell r="C13">
            <v>5.52</v>
          </cell>
          <cell r="D13">
            <v>7.85</v>
          </cell>
          <cell r="E13">
            <v>0.81</v>
          </cell>
          <cell r="F13">
            <v>1.22</v>
          </cell>
          <cell r="G13">
            <v>1.99</v>
          </cell>
          <cell r="H13">
            <v>1.46</v>
          </cell>
          <cell r="I13">
            <v>2.3199999999999998</v>
          </cell>
          <cell r="J13">
            <v>3.16</v>
          </cell>
          <cell r="K13">
            <v>0.94</v>
          </cell>
          <cell r="L13">
            <v>1.02</v>
          </cell>
          <cell r="M13">
            <v>1.33</v>
          </cell>
          <cell r="N13">
            <v>7.14</v>
          </cell>
          <cell r="O13">
            <v>8.4</v>
          </cell>
          <cell r="P13">
            <v>10.43</v>
          </cell>
          <cell r="Q13">
            <v>3</v>
          </cell>
          <cell r="R13">
            <v>0.65</v>
          </cell>
          <cell r="S13">
            <v>2</v>
          </cell>
          <cell r="T13">
            <v>3.5</v>
          </cell>
          <cell r="U13">
            <v>5</v>
          </cell>
          <cell r="V13">
            <v>2</v>
          </cell>
          <cell r="W13">
            <v>22.8</v>
          </cell>
          <cell r="X13">
            <v>27.48</v>
          </cell>
          <cell r="Y13">
            <v>30.95</v>
          </cell>
        </row>
        <row r="14">
          <cell r="A14" t="str">
            <v>Fornecimento de Materiais e Equipamentos</v>
          </cell>
          <cell r="B14">
            <v>1.5</v>
          </cell>
          <cell r="C14">
            <v>3.45</v>
          </cell>
          <cell r="D14">
            <v>4.49</v>
          </cell>
          <cell r="E14">
            <v>0.3</v>
          </cell>
          <cell r="F14">
            <v>0.48</v>
          </cell>
          <cell r="G14">
            <v>0.82</v>
          </cell>
          <cell r="H14">
            <v>0.56000000000000005</v>
          </cell>
          <cell r="I14">
            <v>0.85</v>
          </cell>
          <cell r="J14">
            <v>0.89</v>
          </cell>
          <cell r="K14">
            <v>0.85</v>
          </cell>
          <cell r="L14">
            <v>0.85</v>
          </cell>
          <cell r="M14">
            <v>1.1100000000000001</v>
          </cell>
          <cell r="N14">
            <v>3.5</v>
          </cell>
          <cell r="O14">
            <v>5.1100000000000003</v>
          </cell>
          <cell r="P14">
            <v>6.22</v>
          </cell>
          <cell r="Q14">
            <v>3</v>
          </cell>
          <cell r="R14">
            <v>0.65</v>
          </cell>
          <cell r="S14">
            <v>2</v>
          </cell>
          <cell r="T14">
            <v>3.5</v>
          </cell>
          <cell r="U14">
            <v>5</v>
          </cell>
          <cell r="V14">
            <v>2</v>
          </cell>
          <cell r="W14">
            <v>11.1</v>
          </cell>
          <cell r="X14">
            <v>14.02</v>
          </cell>
          <cell r="Y14">
            <v>16.8</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data:Setembro/2010" TargetMode="External"/><Relationship Id="rId7" Type="http://schemas.openxmlformats.org/officeDocument/2006/relationships/printerSettings" Target="../printerSettings/printerSettings1.bin"/><Relationship Id="rId2" Type="http://schemas.openxmlformats.org/officeDocument/2006/relationships/hyperlink" Target="data:Setembro/2010" TargetMode="External"/><Relationship Id="rId1" Type="http://schemas.openxmlformats.org/officeDocument/2006/relationships/hyperlink" Target="data:Setembro/2010" TargetMode="External"/><Relationship Id="rId6" Type="http://schemas.openxmlformats.org/officeDocument/2006/relationships/hyperlink" Target="data:Setembro/2010" TargetMode="External"/><Relationship Id="rId5" Type="http://schemas.openxmlformats.org/officeDocument/2006/relationships/hyperlink" Target="data:Setembro/2010" TargetMode="External"/><Relationship Id="rId4" Type="http://schemas.openxmlformats.org/officeDocument/2006/relationships/hyperlink" Target="data:Setembro/20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data:Setembro/201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pageSetUpPr fitToPage="1"/>
  </sheetPr>
  <dimension ref="A1:N268"/>
  <sheetViews>
    <sheetView tabSelected="1" view="pageBreakPreview" zoomScaleNormal="110" zoomScaleSheetLayoutView="100" workbookViewId="0">
      <pane ySplit="15" topLeftCell="A19" activePane="bottomLeft" state="frozen"/>
      <selection pane="bottomLeft" activeCell="B7" sqref="B7"/>
    </sheetView>
  </sheetViews>
  <sheetFormatPr defaultRowHeight="12.75" x14ac:dyDescent="0.2"/>
  <cols>
    <col min="1" max="1" width="14" style="60" bestFit="1" customWidth="1"/>
    <col min="2" max="2" width="7.140625" style="61" customWidth="1"/>
    <col min="3" max="3" width="48.140625" style="61" customWidth="1"/>
    <col min="4" max="4" width="8.28515625" style="61" bestFit="1" customWidth="1"/>
    <col min="5" max="5" width="9.140625" style="60"/>
    <col min="6" max="7" width="9.5703125" style="60" customWidth="1"/>
    <col min="8" max="9" width="10.140625" style="62" bestFit="1" customWidth="1"/>
    <col min="10" max="16384" width="9.140625" style="6"/>
  </cols>
  <sheetData>
    <row r="1" spans="1:14" ht="15" customHeight="1" x14ac:dyDescent="0.2">
      <c r="A1" s="222"/>
      <c r="B1" s="223"/>
      <c r="C1" s="223"/>
      <c r="D1" s="223"/>
      <c r="E1" s="223"/>
      <c r="F1" s="223"/>
      <c r="G1" s="223"/>
      <c r="H1" s="224"/>
      <c r="I1" s="225"/>
    </row>
    <row r="2" spans="1:14" x14ac:dyDescent="0.2">
      <c r="A2" s="226"/>
      <c r="B2" s="137"/>
      <c r="C2" s="137"/>
      <c r="D2" s="137"/>
      <c r="E2" s="137"/>
      <c r="F2" s="137"/>
      <c r="G2" s="137"/>
      <c r="H2" s="317"/>
      <c r="I2" s="318"/>
    </row>
    <row r="3" spans="1:14" x14ac:dyDescent="0.2">
      <c r="A3" s="226"/>
      <c r="B3" s="137"/>
      <c r="C3" s="137"/>
      <c r="D3" s="137"/>
      <c r="E3" s="137"/>
      <c r="F3" s="137"/>
      <c r="G3" s="137"/>
      <c r="H3" s="317"/>
      <c r="I3" s="318"/>
    </row>
    <row r="4" spans="1:14" x14ac:dyDescent="0.2">
      <c r="A4" s="226"/>
      <c r="B4" s="137"/>
      <c r="C4" s="137"/>
      <c r="D4" s="137"/>
      <c r="E4" s="137"/>
      <c r="F4" s="137"/>
      <c r="G4" s="137"/>
      <c r="H4" s="317"/>
      <c r="I4" s="318"/>
    </row>
    <row r="5" spans="1:14" x14ac:dyDescent="0.2">
      <c r="A5" s="226"/>
      <c r="B5" s="137"/>
      <c r="C5" s="137"/>
      <c r="D5" s="137"/>
      <c r="E5" s="137"/>
      <c r="F5" s="137"/>
      <c r="G5" s="137"/>
      <c r="H5" s="317"/>
      <c r="I5" s="318"/>
    </row>
    <row r="6" spans="1:14" x14ac:dyDescent="0.2">
      <c r="A6" s="226"/>
      <c r="B6" s="137"/>
      <c r="C6" s="137"/>
      <c r="D6" s="137"/>
      <c r="E6" s="137"/>
      <c r="F6" s="137"/>
      <c r="G6" s="137"/>
      <c r="H6" s="317"/>
      <c r="I6" s="318"/>
    </row>
    <row r="7" spans="1:14" x14ac:dyDescent="0.2">
      <c r="A7" s="226"/>
      <c r="B7" s="137"/>
      <c r="C7" s="137"/>
      <c r="D7" s="137"/>
      <c r="E7" s="137"/>
      <c r="F7" s="137"/>
      <c r="G7" s="137"/>
      <c r="H7" s="317"/>
      <c r="I7" s="318"/>
    </row>
    <row r="8" spans="1:14" x14ac:dyDescent="0.2">
      <c r="A8" s="226"/>
      <c r="B8" s="137"/>
      <c r="C8" s="137"/>
      <c r="D8" s="137"/>
      <c r="E8" s="137"/>
      <c r="F8" s="137"/>
      <c r="G8" s="137"/>
      <c r="H8" s="317"/>
      <c r="I8" s="318"/>
    </row>
    <row r="9" spans="1:14" x14ac:dyDescent="0.2">
      <c r="A9" s="226"/>
      <c r="B9" s="137"/>
      <c r="C9" s="137"/>
      <c r="D9" s="137"/>
      <c r="E9" s="137"/>
      <c r="F9" s="137"/>
      <c r="G9" s="137"/>
      <c r="H9" s="317"/>
      <c r="I9" s="318"/>
    </row>
    <row r="10" spans="1:14" x14ac:dyDescent="0.2">
      <c r="A10" s="226"/>
      <c r="B10" s="137"/>
      <c r="C10" s="137"/>
      <c r="D10" s="137"/>
      <c r="E10" s="137"/>
      <c r="F10" s="137"/>
      <c r="G10" s="137"/>
      <c r="H10" s="317"/>
      <c r="I10" s="318"/>
    </row>
    <row r="11" spans="1:14" ht="15.75" customHeight="1" x14ac:dyDescent="0.2">
      <c r="A11" s="400" t="s">
        <v>1168</v>
      </c>
      <c r="B11" s="401"/>
      <c r="C11" s="401"/>
      <c r="D11" s="401"/>
      <c r="E11" s="401"/>
      <c r="F11" s="401"/>
      <c r="G11" s="401"/>
      <c r="H11" s="401"/>
      <c r="I11" s="325"/>
    </row>
    <row r="12" spans="1:14" ht="15.75" customHeight="1" x14ac:dyDescent="0.2">
      <c r="A12" s="400" t="s">
        <v>1167</v>
      </c>
      <c r="B12" s="401"/>
      <c r="C12" s="401"/>
      <c r="D12" s="401"/>
      <c r="E12" s="401"/>
      <c r="F12" s="401"/>
      <c r="G12" s="324"/>
      <c r="H12" s="324"/>
      <c r="I12" s="321"/>
    </row>
    <row r="13" spans="1:14" ht="15.75" customHeight="1" x14ac:dyDescent="0.2">
      <c r="A13" s="322"/>
      <c r="B13" s="323"/>
      <c r="C13" s="323"/>
      <c r="D13" s="323"/>
      <c r="E13" s="323"/>
      <c r="F13" s="323"/>
      <c r="G13" s="399" t="s">
        <v>1169</v>
      </c>
      <c r="H13" s="399"/>
      <c r="I13" s="325">
        <v>43983</v>
      </c>
    </row>
    <row r="14" spans="1:14" ht="18.75" thickBot="1" x14ac:dyDescent="0.25">
      <c r="A14" s="405" t="s">
        <v>1165</v>
      </c>
      <c r="B14" s="406"/>
      <c r="C14" s="406"/>
      <c r="D14" s="406"/>
      <c r="E14" s="406"/>
      <c r="F14" s="406"/>
      <c r="G14" s="406"/>
      <c r="H14" s="406"/>
      <c r="I14" s="407"/>
    </row>
    <row r="15" spans="1:14" ht="39.75" thickTop="1" thickBot="1" x14ac:dyDescent="0.25">
      <c r="A15" s="227" t="s">
        <v>316</v>
      </c>
      <c r="B15" s="21" t="s">
        <v>0</v>
      </c>
      <c r="C15" s="21" t="s">
        <v>1</v>
      </c>
      <c r="D15" s="21" t="s">
        <v>317</v>
      </c>
      <c r="E15" s="21" t="s">
        <v>318</v>
      </c>
      <c r="F15" s="21" t="s">
        <v>730</v>
      </c>
      <c r="G15" s="21" t="s">
        <v>731</v>
      </c>
      <c r="H15" s="21" t="s">
        <v>732</v>
      </c>
      <c r="I15" s="228" t="s">
        <v>733</v>
      </c>
      <c r="N15" s="319"/>
    </row>
    <row r="16" spans="1:14" ht="28.5" thickTop="1" x14ac:dyDescent="0.2">
      <c r="A16" s="229"/>
      <c r="B16" s="49" t="s">
        <v>2</v>
      </c>
      <c r="C16" s="50" t="s">
        <v>3</v>
      </c>
      <c r="D16" s="49"/>
      <c r="E16" s="53"/>
      <c r="F16" s="53"/>
      <c r="G16" s="53"/>
      <c r="H16" s="57">
        <f>SUM(H17:H18)</f>
        <v>2460.1800000000003</v>
      </c>
      <c r="I16" s="230">
        <f>SUM(I17:I18)</f>
        <v>3169.17</v>
      </c>
      <c r="K16" s="141"/>
      <c r="N16" s="319"/>
    </row>
    <row r="17" spans="1:9" ht="25.5" thickTop="1" thickBot="1" x14ac:dyDescent="0.25">
      <c r="A17" s="231" t="s">
        <v>1051</v>
      </c>
      <c r="B17" s="9" t="s">
        <v>300</v>
      </c>
      <c r="C17" s="7" t="s">
        <v>265</v>
      </c>
      <c r="D17" s="17" t="s">
        <v>17</v>
      </c>
      <c r="E17" s="23">
        <v>3</v>
      </c>
      <c r="F17" s="23">
        <v>324.74</v>
      </c>
      <c r="G17" s="23">
        <f>ROUND($F17*$D$235,2)</f>
        <v>418.33</v>
      </c>
      <c r="H17" s="32">
        <f>ROUND($E17*$F17,2)</f>
        <v>974.22</v>
      </c>
      <c r="I17" s="232">
        <f>ROUND($E17*$G17,2)</f>
        <v>1254.99</v>
      </c>
    </row>
    <row r="18" spans="1:9" ht="60" x14ac:dyDescent="0.2">
      <c r="A18" s="231" t="s">
        <v>1052</v>
      </c>
      <c r="B18" s="9" t="s">
        <v>301</v>
      </c>
      <c r="C18" s="7" t="s">
        <v>266</v>
      </c>
      <c r="D18" s="17" t="s">
        <v>17</v>
      </c>
      <c r="E18" s="23">
        <v>61</v>
      </c>
      <c r="F18" s="23">
        <v>24.36</v>
      </c>
      <c r="G18" s="23">
        <f>ROUND($F18*$D$235,2)</f>
        <v>31.38</v>
      </c>
      <c r="H18" s="32">
        <f>ROUND($E18*$F18,2)</f>
        <v>1485.96</v>
      </c>
      <c r="I18" s="232">
        <f>ROUND($E18*$G18,2)</f>
        <v>1914.18</v>
      </c>
    </row>
    <row r="19" spans="1:9" x14ac:dyDescent="0.2">
      <c r="A19" s="231"/>
      <c r="B19" s="9"/>
      <c r="C19" s="22"/>
      <c r="D19" s="22"/>
      <c r="E19" s="23"/>
      <c r="F19" s="23"/>
      <c r="G19" s="23"/>
      <c r="H19" s="32"/>
      <c r="I19" s="232"/>
    </row>
    <row r="20" spans="1:9" x14ac:dyDescent="0.2">
      <c r="A20" s="233"/>
      <c r="B20" s="51" t="s">
        <v>4</v>
      </c>
      <c r="C20" s="52" t="s">
        <v>5</v>
      </c>
      <c r="D20" s="51"/>
      <c r="E20" s="54"/>
      <c r="F20" s="54"/>
      <c r="G20" s="54"/>
      <c r="H20" s="58">
        <f>SUM(H21:H38)</f>
        <v>14062.52</v>
      </c>
      <c r="I20" s="234">
        <f>SUM(I21:I38)</f>
        <v>18114.840000000004</v>
      </c>
    </row>
    <row r="21" spans="1:9" ht="24" x14ac:dyDescent="0.2">
      <c r="A21" s="235" t="s">
        <v>1053</v>
      </c>
      <c r="B21" s="9" t="s">
        <v>302</v>
      </c>
      <c r="C21" s="7" t="s">
        <v>32</v>
      </c>
      <c r="D21" s="17" t="s">
        <v>17</v>
      </c>
      <c r="E21" s="23">
        <v>3.29</v>
      </c>
      <c r="F21" s="23">
        <v>21.01</v>
      </c>
      <c r="G21" s="23">
        <f t="shared" ref="G21:G38" si="0">ROUND($F21*$D$235,2)</f>
        <v>27.07</v>
      </c>
      <c r="H21" s="32">
        <f>ROUND($E21*$F21,2)</f>
        <v>69.12</v>
      </c>
      <c r="I21" s="232">
        <f>ROUND($E21*$G21,2)</f>
        <v>89.06</v>
      </c>
    </row>
    <row r="22" spans="1:9" ht="36" x14ac:dyDescent="0.2">
      <c r="A22" s="231" t="s">
        <v>1054</v>
      </c>
      <c r="B22" s="9" t="s">
        <v>319</v>
      </c>
      <c r="C22" s="7" t="s">
        <v>267</v>
      </c>
      <c r="D22" s="17" t="s">
        <v>17</v>
      </c>
      <c r="E22" s="23">
        <v>139.88</v>
      </c>
      <c r="F22" s="23">
        <v>16.8</v>
      </c>
      <c r="G22" s="23">
        <f t="shared" si="0"/>
        <v>21.64</v>
      </c>
      <c r="H22" s="32">
        <f t="shared" ref="H22:H38" si="1">ROUND($E22*$F22,2)</f>
        <v>2349.98</v>
      </c>
      <c r="I22" s="232">
        <f t="shared" ref="I22:I38" si="2">ROUND($E22*$G22,2)</f>
        <v>3027</v>
      </c>
    </row>
    <row r="23" spans="1:9" ht="36" x14ac:dyDescent="0.2">
      <c r="A23" s="231" t="s">
        <v>1055</v>
      </c>
      <c r="B23" s="9" t="s">
        <v>320</v>
      </c>
      <c r="C23" s="7" t="s">
        <v>268</v>
      </c>
      <c r="D23" s="17" t="s">
        <v>17</v>
      </c>
      <c r="E23" s="23">
        <v>104.24</v>
      </c>
      <c r="F23" s="23">
        <v>7</v>
      </c>
      <c r="G23" s="23">
        <f t="shared" si="0"/>
        <v>9.02</v>
      </c>
      <c r="H23" s="32">
        <f t="shared" si="1"/>
        <v>729.68</v>
      </c>
      <c r="I23" s="232">
        <f t="shared" si="2"/>
        <v>940.24</v>
      </c>
    </row>
    <row r="24" spans="1:9" ht="36" x14ac:dyDescent="0.2">
      <c r="A24" s="231" t="s">
        <v>1056</v>
      </c>
      <c r="B24" s="9" t="s">
        <v>321</v>
      </c>
      <c r="C24" s="7" t="s">
        <v>269</v>
      </c>
      <c r="D24" s="17" t="s">
        <v>17</v>
      </c>
      <c r="E24" s="23">
        <v>108.55</v>
      </c>
      <c r="F24" s="23">
        <v>13.67</v>
      </c>
      <c r="G24" s="23">
        <f t="shared" si="0"/>
        <v>17.61</v>
      </c>
      <c r="H24" s="32">
        <f t="shared" si="1"/>
        <v>1483.88</v>
      </c>
      <c r="I24" s="232">
        <f t="shared" si="2"/>
        <v>1911.57</v>
      </c>
    </row>
    <row r="25" spans="1:9" ht="48" x14ac:dyDescent="0.2">
      <c r="A25" s="231" t="s">
        <v>1057</v>
      </c>
      <c r="B25" s="9" t="s">
        <v>322</v>
      </c>
      <c r="C25" s="7" t="s">
        <v>270</v>
      </c>
      <c r="D25" s="17" t="s">
        <v>17</v>
      </c>
      <c r="E25" s="23">
        <v>6.2</v>
      </c>
      <c r="F25" s="23">
        <v>8.5500000000000007</v>
      </c>
      <c r="G25" s="23">
        <f t="shared" si="0"/>
        <v>11.01</v>
      </c>
      <c r="H25" s="32">
        <f t="shared" si="1"/>
        <v>53.01</v>
      </c>
      <c r="I25" s="232">
        <f t="shared" si="2"/>
        <v>68.260000000000005</v>
      </c>
    </row>
    <row r="26" spans="1:9" ht="24" x14ac:dyDescent="0.2">
      <c r="A26" s="231" t="s">
        <v>1058</v>
      </c>
      <c r="B26" s="9" t="s">
        <v>323</v>
      </c>
      <c r="C26" s="7" t="s">
        <v>271</v>
      </c>
      <c r="D26" s="17" t="s">
        <v>38</v>
      </c>
      <c r="E26" s="23">
        <v>9.5500000000000007</v>
      </c>
      <c r="F26" s="23">
        <v>71.73</v>
      </c>
      <c r="G26" s="23">
        <f t="shared" si="0"/>
        <v>92.4</v>
      </c>
      <c r="H26" s="32">
        <f t="shared" si="1"/>
        <v>685.02</v>
      </c>
      <c r="I26" s="232">
        <f t="shared" si="2"/>
        <v>882.42</v>
      </c>
    </row>
    <row r="27" spans="1:9" ht="36" x14ac:dyDescent="0.2">
      <c r="A27" s="231" t="s">
        <v>1059</v>
      </c>
      <c r="B27" s="9" t="s">
        <v>324</v>
      </c>
      <c r="C27" s="7" t="s">
        <v>57</v>
      </c>
      <c r="D27" s="17" t="s">
        <v>58</v>
      </c>
      <c r="E27" s="23">
        <v>444.28</v>
      </c>
      <c r="F27" s="23">
        <v>1.83</v>
      </c>
      <c r="G27" s="23">
        <f t="shared" si="0"/>
        <v>2.36</v>
      </c>
      <c r="H27" s="32">
        <f t="shared" si="1"/>
        <v>813.03</v>
      </c>
      <c r="I27" s="232">
        <f t="shared" si="2"/>
        <v>1048.5</v>
      </c>
    </row>
    <row r="28" spans="1:9" ht="48" x14ac:dyDescent="0.2">
      <c r="A28" s="231" t="s">
        <v>1060</v>
      </c>
      <c r="B28" s="9" t="s">
        <v>325</v>
      </c>
      <c r="C28" s="7" t="s">
        <v>272</v>
      </c>
      <c r="D28" s="17" t="s">
        <v>38</v>
      </c>
      <c r="E28" s="23">
        <v>0.5</v>
      </c>
      <c r="F28" s="23">
        <v>325.42</v>
      </c>
      <c r="G28" s="23">
        <f t="shared" si="0"/>
        <v>419.21</v>
      </c>
      <c r="H28" s="32">
        <f t="shared" si="1"/>
        <v>162.71</v>
      </c>
      <c r="I28" s="232">
        <f t="shared" si="2"/>
        <v>209.61</v>
      </c>
    </row>
    <row r="29" spans="1:9" ht="24" x14ac:dyDescent="0.2">
      <c r="A29" s="231" t="s">
        <v>1061</v>
      </c>
      <c r="B29" s="9" t="s">
        <v>326</v>
      </c>
      <c r="C29" s="7" t="s">
        <v>40</v>
      </c>
      <c r="D29" s="17" t="s">
        <v>17</v>
      </c>
      <c r="E29" s="23">
        <v>347.24</v>
      </c>
      <c r="F29" s="23">
        <v>9.8000000000000007</v>
      </c>
      <c r="G29" s="23">
        <f t="shared" si="0"/>
        <v>12.62</v>
      </c>
      <c r="H29" s="32">
        <f t="shared" si="1"/>
        <v>3402.95</v>
      </c>
      <c r="I29" s="232">
        <f t="shared" si="2"/>
        <v>4382.17</v>
      </c>
    </row>
    <row r="30" spans="1:9" ht="24" x14ac:dyDescent="0.2">
      <c r="A30" s="231" t="s">
        <v>1062</v>
      </c>
      <c r="B30" s="9" t="s">
        <v>327</v>
      </c>
      <c r="C30" s="7" t="s">
        <v>42</v>
      </c>
      <c r="D30" s="17" t="s">
        <v>17</v>
      </c>
      <c r="E30" s="23">
        <v>137.58000000000001</v>
      </c>
      <c r="F30" s="23">
        <v>7</v>
      </c>
      <c r="G30" s="23">
        <f t="shared" si="0"/>
        <v>9.02</v>
      </c>
      <c r="H30" s="32">
        <f t="shared" si="1"/>
        <v>963.06</v>
      </c>
      <c r="I30" s="232">
        <f t="shared" si="2"/>
        <v>1240.97</v>
      </c>
    </row>
    <row r="31" spans="1:9" ht="24" x14ac:dyDescent="0.2">
      <c r="A31" s="231" t="s">
        <v>1063</v>
      </c>
      <c r="B31" s="9" t="s">
        <v>328</v>
      </c>
      <c r="C31" s="7" t="s">
        <v>44</v>
      </c>
      <c r="D31" s="17" t="s">
        <v>45</v>
      </c>
      <c r="E31" s="23">
        <v>121.22</v>
      </c>
      <c r="F31" s="23">
        <v>1.75</v>
      </c>
      <c r="G31" s="23">
        <f t="shared" si="0"/>
        <v>2.25</v>
      </c>
      <c r="H31" s="32">
        <f t="shared" si="1"/>
        <v>212.14</v>
      </c>
      <c r="I31" s="232">
        <f t="shared" si="2"/>
        <v>272.75</v>
      </c>
    </row>
    <row r="32" spans="1:9" x14ac:dyDescent="0.2">
      <c r="A32" s="231" t="s">
        <v>1064</v>
      </c>
      <c r="B32" s="9" t="s">
        <v>329</v>
      </c>
      <c r="C32" s="7" t="s">
        <v>47</v>
      </c>
      <c r="D32" s="17" t="s">
        <v>17</v>
      </c>
      <c r="E32" s="23">
        <v>31</v>
      </c>
      <c r="F32" s="23">
        <v>7.7</v>
      </c>
      <c r="G32" s="23">
        <f t="shared" si="0"/>
        <v>9.92</v>
      </c>
      <c r="H32" s="32">
        <f t="shared" si="1"/>
        <v>238.7</v>
      </c>
      <c r="I32" s="232">
        <f t="shared" si="2"/>
        <v>307.52</v>
      </c>
    </row>
    <row r="33" spans="1:9" ht="24" x14ac:dyDescent="0.2">
      <c r="A33" s="231" t="s">
        <v>1065</v>
      </c>
      <c r="B33" s="9" t="s">
        <v>330</v>
      </c>
      <c r="C33" s="7" t="s">
        <v>273</v>
      </c>
      <c r="D33" s="17" t="s">
        <v>17</v>
      </c>
      <c r="E33" s="23">
        <v>59.31</v>
      </c>
      <c r="F33" s="23">
        <v>11.2</v>
      </c>
      <c r="G33" s="23">
        <f t="shared" si="0"/>
        <v>14.43</v>
      </c>
      <c r="H33" s="32">
        <f t="shared" si="1"/>
        <v>664.27</v>
      </c>
      <c r="I33" s="232">
        <f t="shared" si="2"/>
        <v>855.84</v>
      </c>
    </row>
    <row r="34" spans="1:9" ht="24" x14ac:dyDescent="0.2">
      <c r="A34" s="231" t="s">
        <v>1066</v>
      </c>
      <c r="B34" s="9" t="s">
        <v>331</v>
      </c>
      <c r="C34" s="7" t="s">
        <v>15</v>
      </c>
      <c r="D34" s="17" t="s">
        <v>16</v>
      </c>
      <c r="E34" s="23">
        <v>44</v>
      </c>
      <c r="F34" s="23">
        <v>19.8</v>
      </c>
      <c r="G34" s="23">
        <f t="shared" si="0"/>
        <v>25.51</v>
      </c>
      <c r="H34" s="32">
        <f t="shared" si="1"/>
        <v>871.2</v>
      </c>
      <c r="I34" s="232">
        <f t="shared" si="2"/>
        <v>1122.44</v>
      </c>
    </row>
    <row r="35" spans="1:9" ht="24" x14ac:dyDescent="0.2">
      <c r="A35" s="231">
        <v>97663</v>
      </c>
      <c r="B35" s="9" t="s">
        <v>332</v>
      </c>
      <c r="C35" s="7" t="s">
        <v>192</v>
      </c>
      <c r="D35" s="17" t="s">
        <v>16</v>
      </c>
      <c r="E35" s="23">
        <v>5</v>
      </c>
      <c r="F35" s="23">
        <v>11.28</v>
      </c>
      <c r="G35" s="23">
        <f t="shared" si="0"/>
        <v>14.53</v>
      </c>
      <c r="H35" s="32">
        <f t="shared" si="1"/>
        <v>56.4</v>
      </c>
      <c r="I35" s="232">
        <f t="shared" si="2"/>
        <v>72.650000000000006</v>
      </c>
    </row>
    <row r="36" spans="1:9" x14ac:dyDescent="0.2">
      <c r="A36" s="231" t="s">
        <v>1067</v>
      </c>
      <c r="B36" s="9" t="s">
        <v>333</v>
      </c>
      <c r="C36" s="7" t="s">
        <v>49</v>
      </c>
      <c r="D36" s="17" t="s">
        <v>16</v>
      </c>
      <c r="E36" s="23">
        <v>14</v>
      </c>
      <c r="F36" s="23">
        <v>16.670000000000002</v>
      </c>
      <c r="G36" s="23">
        <f t="shared" si="0"/>
        <v>21.47</v>
      </c>
      <c r="H36" s="32">
        <f t="shared" si="1"/>
        <v>233.38</v>
      </c>
      <c r="I36" s="232">
        <f t="shared" si="2"/>
        <v>300.58</v>
      </c>
    </row>
    <row r="37" spans="1:9" ht="24" x14ac:dyDescent="0.2">
      <c r="A37" s="231" t="s">
        <v>1068</v>
      </c>
      <c r="B37" s="9" t="s">
        <v>334</v>
      </c>
      <c r="C37" s="7" t="s">
        <v>51</v>
      </c>
      <c r="D37" s="17" t="s">
        <v>45</v>
      </c>
      <c r="E37" s="23">
        <v>8.74</v>
      </c>
      <c r="F37" s="23">
        <v>33.340000000000003</v>
      </c>
      <c r="G37" s="23">
        <f t="shared" si="0"/>
        <v>42.95</v>
      </c>
      <c r="H37" s="32">
        <f t="shared" si="1"/>
        <v>291.39</v>
      </c>
      <c r="I37" s="232">
        <f t="shared" si="2"/>
        <v>375.38</v>
      </c>
    </row>
    <row r="38" spans="1:9" ht="24" x14ac:dyDescent="0.2">
      <c r="A38" s="231" t="s">
        <v>1069</v>
      </c>
      <c r="B38" s="9" t="s">
        <v>335</v>
      </c>
      <c r="C38" s="7" t="s">
        <v>173</v>
      </c>
      <c r="D38" s="17" t="s">
        <v>17</v>
      </c>
      <c r="E38" s="23">
        <v>55.9</v>
      </c>
      <c r="F38" s="23">
        <v>14</v>
      </c>
      <c r="G38" s="23">
        <f t="shared" si="0"/>
        <v>18.03</v>
      </c>
      <c r="H38" s="32">
        <f t="shared" si="1"/>
        <v>782.6</v>
      </c>
      <c r="I38" s="232">
        <f t="shared" si="2"/>
        <v>1007.88</v>
      </c>
    </row>
    <row r="39" spans="1:9" x14ac:dyDescent="0.2">
      <c r="A39" s="231"/>
      <c r="B39" s="9"/>
      <c r="C39" s="7"/>
      <c r="D39" s="17"/>
      <c r="E39" s="23"/>
      <c r="F39" s="23"/>
      <c r="G39" s="23"/>
      <c r="H39" s="32"/>
      <c r="I39" s="232"/>
    </row>
    <row r="40" spans="1:9" x14ac:dyDescent="0.2">
      <c r="A40" s="233"/>
      <c r="B40" s="51" t="s">
        <v>6</v>
      </c>
      <c r="C40" s="52" t="s">
        <v>59</v>
      </c>
      <c r="D40" s="51"/>
      <c r="E40" s="54"/>
      <c r="F40" s="54"/>
      <c r="G40" s="54"/>
      <c r="H40" s="58">
        <f>SUM(H41:H47)</f>
        <v>7428.2800000000007</v>
      </c>
      <c r="I40" s="234">
        <f>SUM(I41:I47)</f>
        <v>9558.56</v>
      </c>
    </row>
    <row r="41" spans="1:9" ht="96" x14ac:dyDescent="0.2">
      <c r="A41" s="231" t="s">
        <v>1070</v>
      </c>
      <c r="B41" s="9" t="s">
        <v>303</v>
      </c>
      <c r="C41" s="7" t="s">
        <v>274</v>
      </c>
      <c r="D41" s="17" t="s">
        <v>61</v>
      </c>
      <c r="E41" s="23">
        <v>760.73</v>
      </c>
      <c r="F41" s="23">
        <v>6.06</v>
      </c>
      <c r="G41" s="23">
        <f t="shared" ref="G41:G47" si="3">ROUND($F41*$D$235,2)</f>
        <v>7.81</v>
      </c>
      <c r="H41" s="32">
        <f t="shared" ref="H41:H47" si="4">ROUND($E41*$F41,2)</f>
        <v>4610.0200000000004</v>
      </c>
      <c r="I41" s="232">
        <f t="shared" ref="I41:I47" si="5">ROUND($E41*$G41,2)</f>
        <v>5941.3</v>
      </c>
    </row>
    <row r="42" spans="1:9" ht="48" x14ac:dyDescent="0.2">
      <c r="A42" s="236" t="s">
        <v>1071</v>
      </c>
      <c r="B42" s="327" t="s">
        <v>336</v>
      </c>
      <c r="C42" s="328" t="s">
        <v>275</v>
      </c>
      <c r="D42" s="329" t="s">
        <v>63</v>
      </c>
      <c r="E42" s="330">
        <v>7607.25</v>
      </c>
      <c r="F42" s="330">
        <v>0.11</v>
      </c>
      <c r="G42" s="330">
        <f t="shared" si="3"/>
        <v>0.14000000000000001</v>
      </c>
      <c r="H42" s="331">
        <f t="shared" si="4"/>
        <v>836.8</v>
      </c>
      <c r="I42" s="237">
        <f t="shared" si="5"/>
        <v>1065.02</v>
      </c>
    </row>
    <row r="43" spans="1:9" ht="36" x14ac:dyDescent="0.2">
      <c r="A43" s="231" t="s">
        <v>1072</v>
      </c>
      <c r="B43" s="9" t="s">
        <v>337</v>
      </c>
      <c r="C43" s="7" t="s">
        <v>276</v>
      </c>
      <c r="D43" s="17" t="s">
        <v>17</v>
      </c>
      <c r="E43" s="23">
        <v>152.15</v>
      </c>
      <c r="F43" s="23">
        <v>0.65</v>
      </c>
      <c r="G43" s="23">
        <f t="shared" si="3"/>
        <v>0.84</v>
      </c>
      <c r="H43" s="32">
        <f t="shared" si="4"/>
        <v>98.9</v>
      </c>
      <c r="I43" s="232">
        <f t="shared" si="5"/>
        <v>127.81</v>
      </c>
    </row>
    <row r="44" spans="1:9" ht="48" x14ac:dyDescent="0.2">
      <c r="A44" s="231" t="s">
        <v>1073</v>
      </c>
      <c r="B44" s="9" t="s">
        <v>338</v>
      </c>
      <c r="C44" s="7" t="s">
        <v>277</v>
      </c>
      <c r="D44" s="17" t="s">
        <v>17</v>
      </c>
      <c r="E44" s="23">
        <v>24.84</v>
      </c>
      <c r="F44" s="23">
        <v>2.86</v>
      </c>
      <c r="G44" s="23">
        <f t="shared" si="3"/>
        <v>3.68</v>
      </c>
      <c r="H44" s="32">
        <f t="shared" si="4"/>
        <v>71.040000000000006</v>
      </c>
      <c r="I44" s="232">
        <f t="shared" si="5"/>
        <v>91.41</v>
      </c>
    </row>
    <row r="45" spans="1:9" ht="24" x14ac:dyDescent="0.2">
      <c r="A45" s="231" t="s">
        <v>1074</v>
      </c>
      <c r="B45" s="9" t="s">
        <v>339</v>
      </c>
      <c r="C45" s="7" t="s">
        <v>67</v>
      </c>
      <c r="D45" s="17" t="s">
        <v>17</v>
      </c>
      <c r="E45" s="23">
        <v>152.15</v>
      </c>
      <c r="F45" s="23">
        <v>5.6</v>
      </c>
      <c r="G45" s="23">
        <f t="shared" si="3"/>
        <v>7.21</v>
      </c>
      <c r="H45" s="32">
        <f t="shared" si="4"/>
        <v>852.04</v>
      </c>
      <c r="I45" s="232">
        <f t="shared" si="5"/>
        <v>1097</v>
      </c>
    </row>
    <row r="46" spans="1:9" ht="36" x14ac:dyDescent="0.2">
      <c r="A46" s="231" t="s">
        <v>1075</v>
      </c>
      <c r="B46" s="9" t="s">
        <v>340</v>
      </c>
      <c r="C46" s="7" t="s">
        <v>237</v>
      </c>
      <c r="D46" s="17" t="s">
        <v>238</v>
      </c>
      <c r="E46" s="23">
        <v>2</v>
      </c>
      <c r="F46" s="23">
        <v>319.88</v>
      </c>
      <c r="G46" s="23">
        <f t="shared" si="3"/>
        <v>412.07</v>
      </c>
      <c r="H46" s="32">
        <f t="shared" si="4"/>
        <v>639.76</v>
      </c>
      <c r="I46" s="232">
        <f t="shared" si="5"/>
        <v>824.14</v>
      </c>
    </row>
    <row r="47" spans="1:9" ht="24" x14ac:dyDescent="0.2">
      <c r="A47" s="231" t="s">
        <v>1076</v>
      </c>
      <c r="B47" s="9" t="s">
        <v>341</v>
      </c>
      <c r="C47" s="7" t="s">
        <v>69</v>
      </c>
      <c r="D47" s="17" t="s">
        <v>16</v>
      </c>
      <c r="E47" s="23">
        <v>4</v>
      </c>
      <c r="F47" s="23">
        <v>79.930000000000007</v>
      </c>
      <c r="G47" s="23">
        <f t="shared" si="3"/>
        <v>102.97</v>
      </c>
      <c r="H47" s="32">
        <f t="shared" si="4"/>
        <v>319.72000000000003</v>
      </c>
      <c r="I47" s="232">
        <f t="shared" si="5"/>
        <v>411.88</v>
      </c>
    </row>
    <row r="48" spans="1:9" x14ac:dyDescent="0.2">
      <c r="A48" s="231"/>
      <c r="B48" s="9"/>
      <c r="C48" s="7"/>
      <c r="D48" s="17"/>
      <c r="E48" s="23"/>
      <c r="F48" s="23"/>
      <c r="G48" s="23"/>
      <c r="H48" s="32"/>
      <c r="I48" s="232"/>
    </row>
    <row r="49" spans="1:9" x14ac:dyDescent="0.2">
      <c r="A49" s="233"/>
      <c r="B49" s="51" t="s">
        <v>8</v>
      </c>
      <c r="C49" s="52" t="s">
        <v>7</v>
      </c>
      <c r="D49" s="51"/>
      <c r="E49" s="54"/>
      <c r="F49" s="54"/>
      <c r="G49" s="54"/>
      <c r="H49" s="58">
        <f>SUM(H50:H52)</f>
        <v>2218.58</v>
      </c>
      <c r="I49" s="234">
        <f>SUM(I50:I52)</f>
        <v>2857.96</v>
      </c>
    </row>
    <row r="50" spans="1:9" ht="36" x14ac:dyDescent="0.2">
      <c r="A50" s="231" t="s">
        <v>1077</v>
      </c>
      <c r="B50" s="9" t="s">
        <v>304</v>
      </c>
      <c r="C50" s="7" t="s">
        <v>278</v>
      </c>
      <c r="D50" s="17" t="s">
        <v>38</v>
      </c>
      <c r="E50" s="23">
        <v>30.89</v>
      </c>
      <c r="F50" s="23">
        <v>16.100000000000001</v>
      </c>
      <c r="G50" s="23">
        <f>ROUND($F50*$D$235,2)</f>
        <v>20.74</v>
      </c>
      <c r="H50" s="32">
        <f>ROUND($E50*$F50,2)</f>
        <v>497.33</v>
      </c>
      <c r="I50" s="232">
        <f>ROUND($E50*$G50,2)</f>
        <v>640.66</v>
      </c>
    </row>
    <row r="51" spans="1:9" ht="36" x14ac:dyDescent="0.2">
      <c r="A51" s="231" t="s">
        <v>1078</v>
      </c>
      <c r="B51" s="9" t="s">
        <v>342</v>
      </c>
      <c r="C51" s="7" t="s">
        <v>54</v>
      </c>
      <c r="D51" s="17" t="s">
        <v>45</v>
      </c>
      <c r="E51" s="23">
        <v>5.85</v>
      </c>
      <c r="F51" s="23">
        <v>117.8</v>
      </c>
      <c r="G51" s="23">
        <f>ROUND($F51*$D$235,2)</f>
        <v>151.75</v>
      </c>
      <c r="H51" s="32">
        <f>ROUND($E51*$F51,2)</f>
        <v>689.13</v>
      </c>
      <c r="I51" s="232">
        <f>ROUND($E51*$G51,2)</f>
        <v>887.74</v>
      </c>
    </row>
    <row r="52" spans="1:9" ht="24" x14ac:dyDescent="0.2">
      <c r="A52" s="231" t="s">
        <v>1079</v>
      </c>
      <c r="B52" s="9" t="s">
        <v>343</v>
      </c>
      <c r="C52" s="7" t="s">
        <v>279</v>
      </c>
      <c r="D52" s="17" t="s">
        <v>16</v>
      </c>
      <c r="E52" s="23">
        <v>4</v>
      </c>
      <c r="F52" s="23">
        <v>258.02999999999997</v>
      </c>
      <c r="G52" s="23">
        <f>ROUND($F52*$D$235,2)</f>
        <v>332.39</v>
      </c>
      <c r="H52" s="32">
        <f>ROUND($E52*$F52,2)</f>
        <v>1032.1199999999999</v>
      </c>
      <c r="I52" s="232">
        <f>ROUND($E52*$G52,2)</f>
        <v>1329.56</v>
      </c>
    </row>
    <row r="53" spans="1:9" x14ac:dyDescent="0.2">
      <c r="A53" s="231"/>
      <c r="B53" s="9"/>
      <c r="C53" s="7"/>
      <c r="D53" s="17"/>
      <c r="E53" s="23"/>
      <c r="F53" s="23"/>
      <c r="G53" s="23"/>
      <c r="H53" s="32"/>
      <c r="I53" s="232"/>
    </row>
    <row r="54" spans="1:9" x14ac:dyDescent="0.2">
      <c r="A54" s="233"/>
      <c r="B54" s="51" t="s">
        <v>9</v>
      </c>
      <c r="C54" s="52" t="s">
        <v>72</v>
      </c>
      <c r="D54" s="51"/>
      <c r="E54" s="54"/>
      <c r="F54" s="54"/>
      <c r="G54" s="54"/>
      <c r="H54" s="58">
        <f>SUM(H55:H57)</f>
        <v>659.38</v>
      </c>
      <c r="I54" s="234">
        <f>SUM(I55:I57)</f>
        <v>849.27</v>
      </c>
    </row>
    <row r="55" spans="1:9" ht="48" x14ac:dyDescent="0.2">
      <c r="A55" s="231" t="s">
        <v>1080</v>
      </c>
      <c r="B55" s="9" t="s">
        <v>305</v>
      </c>
      <c r="C55" s="7" t="s">
        <v>280</v>
      </c>
      <c r="D55" s="17" t="s">
        <v>38</v>
      </c>
      <c r="E55" s="23">
        <v>1.4</v>
      </c>
      <c r="F55" s="23">
        <v>379.97</v>
      </c>
      <c r="G55" s="23">
        <f>ROUND($F55*$D$235,2)</f>
        <v>489.48</v>
      </c>
      <c r="H55" s="32">
        <f>ROUND($E55*$F55,2)</f>
        <v>531.96</v>
      </c>
      <c r="I55" s="232">
        <f>ROUND($E55*$G55,2)</f>
        <v>685.27</v>
      </c>
    </row>
    <row r="56" spans="1:9" ht="60" x14ac:dyDescent="0.2">
      <c r="A56" s="231" t="s">
        <v>1081</v>
      </c>
      <c r="B56" s="9" t="s">
        <v>344</v>
      </c>
      <c r="C56" s="7" t="s">
        <v>240</v>
      </c>
      <c r="D56" s="17" t="s">
        <v>58</v>
      </c>
      <c r="E56" s="23">
        <v>16.7</v>
      </c>
      <c r="F56" s="23">
        <v>3.97</v>
      </c>
      <c r="G56" s="23">
        <f>ROUND($F56*$D$235,2)</f>
        <v>5.1100000000000003</v>
      </c>
      <c r="H56" s="32">
        <f>ROUND($E56*$F56,2)</f>
        <v>66.3</v>
      </c>
      <c r="I56" s="232">
        <f>ROUND($E56*$G56,2)</f>
        <v>85.34</v>
      </c>
    </row>
    <row r="57" spans="1:9" ht="36" x14ac:dyDescent="0.2">
      <c r="A57" s="231" t="s">
        <v>1082</v>
      </c>
      <c r="B57" s="9" t="s">
        <v>345</v>
      </c>
      <c r="C57" s="7" t="s">
        <v>242</v>
      </c>
      <c r="D57" s="17" t="s">
        <v>58</v>
      </c>
      <c r="E57" s="23">
        <v>16.7</v>
      </c>
      <c r="F57" s="23">
        <v>3.66</v>
      </c>
      <c r="G57" s="23">
        <f>ROUND($F57*$D$235,2)</f>
        <v>4.71</v>
      </c>
      <c r="H57" s="32">
        <f>ROUND($E57*$F57,2)</f>
        <v>61.12</v>
      </c>
      <c r="I57" s="232">
        <f>ROUND($E57*$G57,2)</f>
        <v>78.66</v>
      </c>
    </row>
    <row r="58" spans="1:9" x14ac:dyDescent="0.2">
      <c r="A58" s="231"/>
      <c r="B58" s="9"/>
      <c r="C58" s="7"/>
      <c r="D58" s="17"/>
      <c r="E58" s="23"/>
      <c r="F58" s="23"/>
      <c r="G58" s="23"/>
      <c r="H58" s="32"/>
      <c r="I58" s="232"/>
    </row>
    <row r="59" spans="1:9" x14ac:dyDescent="0.2">
      <c r="A59" s="233"/>
      <c r="B59" s="51" t="s">
        <v>78</v>
      </c>
      <c r="C59" s="52" t="s">
        <v>76</v>
      </c>
      <c r="D59" s="51"/>
      <c r="E59" s="54"/>
      <c r="F59" s="54"/>
      <c r="G59" s="54"/>
      <c r="H59" s="58">
        <f>SUM(H60:H62)</f>
        <v>5128.6099999999997</v>
      </c>
      <c r="I59" s="234">
        <f>SUM(I60:I62)</f>
        <v>6606.6799999999994</v>
      </c>
    </row>
    <row r="60" spans="1:9" ht="24" x14ac:dyDescent="0.2">
      <c r="A60" s="238" t="s">
        <v>1083</v>
      </c>
      <c r="B60" s="131" t="s">
        <v>306</v>
      </c>
      <c r="C60" s="132" t="s">
        <v>75</v>
      </c>
      <c r="D60" s="133" t="s">
        <v>38</v>
      </c>
      <c r="E60" s="134">
        <v>2.34</v>
      </c>
      <c r="F60" s="23">
        <v>1457.77</v>
      </c>
      <c r="G60" s="134">
        <f>ROUND($F60*$D$235,2)</f>
        <v>1877.9</v>
      </c>
      <c r="H60" s="135">
        <f>ROUND($E60*$F60,2)</f>
        <v>3411.18</v>
      </c>
      <c r="I60" s="239">
        <f>ROUND($E60*$G60,2)</f>
        <v>4394.29</v>
      </c>
    </row>
    <row r="61" spans="1:9" ht="72" x14ac:dyDescent="0.2">
      <c r="A61" s="238" t="s">
        <v>1084</v>
      </c>
      <c r="B61" s="131" t="s">
        <v>346</v>
      </c>
      <c r="C61" s="132" t="s">
        <v>281</v>
      </c>
      <c r="D61" s="133" t="s">
        <v>38</v>
      </c>
      <c r="E61" s="134">
        <v>0.7</v>
      </c>
      <c r="F61" s="23">
        <v>1886.56</v>
      </c>
      <c r="G61" s="134">
        <f>ROUND($F61*$D$235,2)</f>
        <v>2430.27</v>
      </c>
      <c r="H61" s="135">
        <f>ROUND($E61*$F61,2)</f>
        <v>1320.59</v>
      </c>
      <c r="I61" s="239">
        <f>ROUND($E61*$G61,2)</f>
        <v>1701.19</v>
      </c>
    </row>
    <row r="62" spans="1:9" ht="72" x14ac:dyDescent="0.2">
      <c r="A62" s="238" t="s">
        <v>1085</v>
      </c>
      <c r="B62" s="131" t="s">
        <v>347</v>
      </c>
      <c r="C62" s="132" t="s">
        <v>80</v>
      </c>
      <c r="D62" s="133" t="s">
        <v>17</v>
      </c>
      <c r="E62" s="134">
        <v>6</v>
      </c>
      <c r="F62" s="23">
        <v>66.14</v>
      </c>
      <c r="G62" s="134">
        <f>ROUND($F62*$D$235,2)</f>
        <v>85.2</v>
      </c>
      <c r="H62" s="135">
        <f>ROUND($E62*$F62,2)</f>
        <v>396.84</v>
      </c>
      <c r="I62" s="239">
        <f>ROUND($E62*$G62,2)</f>
        <v>511.2</v>
      </c>
    </row>
    <row r="63" spans="1:9" x14ac:dyDescent="0.2">
      <c r="A63" s="231"/>
      <c r="B63" s="9"/>
      <c r="C63" s="7"/>
      <c r="D63" s="17"/>
      <c r="E63" s="23"/>
      <c r="F63" s="23"/>
      <c r="G63" s="23"/>
      <c r="H63" s="32"/>
      <c r="I63" s="232"/>
    </row>
    <row r="64" spans="1:9" x14ac:dyDescent="0.2">
      <c r="A64" s="233"/>
      <c r="B64" s="51" t="s">
        <v>11</v>
      </c>
      <c r="C64" s="52" t="s">
        <v>81</v>
      </c>
      <c r="D64" s="51"/>
      <c r="E64" s="54"/>
      <c r="F64" s="54"/>
      <c r="G64" s="54"/>
      <c r="H64" s="58">
        <f>SUM(H65:H68)</f>
        <v>10649.3</v>
      </c>
      <c r="I64" s="234">
        <f>SUM(I65:I68)</f>
        <v>13718.37</v>
      </c>
    </row>
    <row r="65" spans="1:14" ht="60" x14ac:dyDescent="0.2">
      <c r="A65" s="231" t="s">
        <v>1086</v>
      </c>
      <c r="B65" s="9" t="s">
        <v>307</v>
      </c>
      <c r="C65" s="7" t="s">
        <v>84</v>
      </c>
      <c r="D65" s="17" t="s">
        <v>17</v>
      </c>
      <c r="E65" s="23">
        <v>36.6</v>
      </c>
      <c r="F65" s="23">
        <v>148.99</v>
      </c>
      <c r="G65" s="23">
        <f>ROUND($F65*$D$235,2)</f>
        <v>191.93</v>
      </c>
      <c r="H65" s="32">
        <f>ROUND($E65*$F65,2)</f>
        <v>5453.03</v>
      </c>
      <c r="I65" s="232">
        <f>ROUND($E65*$G65,2)</f>
        <v>7024.64</v>
      </c>
    </row>
    <row r="66" spans="1:14" ht="48" x14ac:dyDescent="0.2">
      <c r="A66" s="236" t="s">
        <v>1087</v>
      </c>
      <c r="B66" s="327" t="s">
        <v>348</v>
      </c>
      <c r="C66" s="328" t="s">
        <v>83</v>
      </c>
      <c r="D66" s="329" t="s">
        <v>45</v>
      </c>
      <c r="E66" s="330">
        <v>16.82</v>
      </c>
      <c r="F66" s="330">
        <v>43.96</v>
      </c>
      <c r="G66" s="330">
        <f>ROUND($F66*$D$235,2)</f>
        <v>56.63</v>
      </c>
      <c r="H66" s="331">
        <f>ROUND($E66*$F66,2)</f>
        <v>739.41</v>
      </c>
      <c r="I66" s="237">
        <f>ROUND($E66*$G66,2)</f>
        <v>952.52</v>
      </c>
    </row>
    <row r="67" spans="1:14" ht="120" x14ac:dyDescent="0.2">
      <c r="A67" s="231" t="s">
        <v>1088</v>
      </c>
      <c r="B67" s="9" t="s">
        <v>349</v>
      </c>
      <c r="C67" s="7" t="s">
        <v>87</v>
      </c>
      <c r="D67" s="17" t="s">
        <v>17</v>
      </c>
      <c r="E67" s="23">
        <v>34.200000000000003</v>
      </c>
      <c r="F67" s="23">
        <v>53.69</v>
      </c>
      <c r="G67" s="23">
        <f>ROUND($F67*$D$235,2)</f>
        <v>69.16</v>
      </c>
      <c r="H67" s="32">
        <f>ROUND($E67*$F67,2)</f>
        <v>1836.2</v>
      </c>
      <c r="I67" s="232">
        <f>ROUND($E67*$G67,2)</f>
        <v>2365.27</v>
      </c>
    </row>
    <row r="68" spans="1:14" ht="72" x14ac:dyDescent="0.2">
      <c r="A68" s="231" t="s">
        <v>1089</v>
      </c>
      <c r="B68" s="9" t="s">
        <v>705</v>
      </c>
      <c r="C68" s="7" t="s">
        <v>650</v>
      </c>
      <c r="D68" s="17" t="s">
        <v>17</v>
      </c>
      <c r="E68" s="23">
        <v>5.88</v>
      </c>
      <c r="F68" s="23">
        <v>445.69</v>
      </c>
      <c r="G68" s="23">
        <f>ROUND($F68*$D$235,2)</f>
        <v>574.14</v>
      </c>
      <c r="H68" s="32">
        <f>ROUND($E68*$F68,2)</f>
        <v>2620.66</v>
      </c>
      <c r="I68" s="232">
        <f>ROUND($E68*$G68,2)</f>
        <v>3375.94</v>
      </c>
    </row>
    <row r="69" spans="1:14" x14ac:dyDescent="0.2">
      <c r="A69" s="236"/>
      <c r="B69" s="16"/>
      <c r="C69" s="24"/>
      <c r="D69" s="24"/>
      <c r="E69" s="25"/>
      <c r="F69" s="25"/>
      <c r="G69" s="25"/>
      <c r="H69" s="56"/>
      <c r="I69" s="237"/>
    </row>
    <row r="70" spans="1:14" x14ac:dyDescent="0.2">
      <c r="A70" s="233"/>
      <c r="B70" s="51" t="s">
        <v>113</v>
      </c>
      <c r="C70" s="52" t="s">
        <v>106</v>
      </c>
      <c r="D70" s="51"/>
      <c r="E70" s="54"/>
      <c r="F70" s="54"/>
      <c r="G70" s="54"/>
      <c r="H70" s="58">
        <f>SUM(H71:H89)</f>
        <v>49981.440000000002</v>
      </c>
      <c r="I70" s="234">
        <f>SUM(I71:I89)</f>
        <v>64385.840000000018</v>
      </c>
    </row>
    <row r="71" spans="1:14" ht="36" x14ac:dyDescent="0.2">
      <c r="A71" s="231" t="s">
        <v>1090</v>
      </c>
      <c r="B71" s="9" t="s">
        <v>308</v>
      </c>
      <c r="C71" s="7" t="s">
        <v>89</v>
      </c>
      <c r="D71" s="17" t="s">
        <v>17</v>
      </c>
      <c r="E71" s="23">
        <v>235.96</v>
      </c>
      <c r="F71" s="23">
        <v>4.6900000000000004</v>
      </c>
      <c r="G71" s="23">
        <f t="shared" ref="G71:G89" si="6">ROUND($F71*$D$235,2)</f>
        <v>6.04</v>
      </c>
      <c r="H71" s="32">
        <f t="shared" ref="H71:H89" si="7">ROUND($E71*$F71,2)</f>
        <v>1106.6500000000001</v>
      </c>
      <c r="I71" s="232">
        <f t="shared" ref="I71:I89" si="8">ROUND($E71*$G71,2)</f>
        <v>1425.2</v>
      </c>
    </row>
    <row r="72" spans="1:14" ht="36" x14ac:dyDescent="0.2">
      <c r="A72" s="231" t="s">
        <v>1091</v>
      </c>
      <c r="B72" s="9" t="s">
        <v>350</v>
      </c>
      <c r="C72" s="7" t="s">
        <v>282</v>
      </c>
      <c r="D72" s="17" t="s">
        <v>17</v>
      </c>
      <c r="E72" s="23">
        <v>235.96</v>
      </c>
      <c r="F72" s="23">
        <v>19.45</v>
      </c>
      <c r="G72" s="23">
        <f t="shared" si="6"/>
        <v>25.06</v>
      </c>
      <c r="H72" s="32">
        <f t="shared" si="7"/>
        <v>4589.42</v>
      </c>
      <c r="I72" s="232">
        <f t="shared" si="8"/>
        <v>5913.16</v>
      </c>
    </row>
    <row r="73" spans="1:14" ht="48" x14ac:dyDescent="0.2">
      <c r="A73" s="231" t="s">
        <v>1092</v>
      </c>
      <c r="B73" s="9" t="s">
        <v>351</v>
      </c>
      <c r="C73" s="7" t="s">
        <v>283</v>
      </c>
      <c r="D73" s="17" t="s">
        <v>17</v>
      </c>
      <c r="E73" s="23">
        <v>189.31</v>
      </c>
      <c r="F73" s="23">
        <v>15.77</v>
      </c>
      <c r="G73" s="23">
        <f t="shared" si="6"/>
        <v>20.309999999999999</v>
      </c>
      <c r="H73" s="32">
        <f t="shared" si="7"/>
        <v>2985.42</v>
      </c>
      <c r="I73" s="232">
        <f t="shared" si="8"/>
        <v>3844.89</v>
      </c>
    </row>
    <row r="74" spans="1:14" ht="84" x14ac:dyDescent="0.2">
      <c r="A74" s="238" t="s">
        <v>1093</v>
      </c>
      <c r="B74" s="131" t="s">
        <v>352</v>
      </c>
      <c r="C74" s="132" t="s">
        <v>284</v>
      </c>
      <c r="D74" s="133" t="s">
        <v>17</v>
      </c>
      <c r="E74" s="134">
        <v>11.42</v>
      </c>
      <c r="F74" s="23">
        <v>165.51</v>
      </c>
      <c r="G74" s="136">
        <f t="shared" si="6"/>
        <v>213.21</v>
      </c>
      <c r="H74" s="135">
        <f t="shared" si="7"/>
        <v>1890.12</v>
      </c>
      <c r="I74" s="239">
        <f t="shared" si="8"/>
        <v>2434.86</v>
      </c>
    </row>
    <row r="75" spans="1:14" ht="48" x14ac:dyDescent="0.2">
      <c r="A75" s="231" t="s">
        <v>1094</v>
      </c>
      <c r="B75" s="9" t="s">
        <v>353</v>
      </c>
      <c r="C75" s="7" t="s">
        <v>653</v>
      </c>
      <c r="D75" s="17" t="s">
        <v>17</v>
      </c>
      <c r="E75" s="23">
        <v>23.82</v>
      </c>
      <c r="F75" s="23">
        <v>36.270000000000003</v>
      </c>
      <c r="G75" s="23">
        <f t="shared" si="6"/>
        <v>46.72</v>
      </c>
      <c r="H75" s="32">
        <f t="shared" si="7"/>
        <v>863.95</v>
      </c>
      <c r="I75" s="232">
        <f t="shared" si="8"/>
        <v>1112.8699999999999</v>
      </c>
    </row>
    <row r="76" spans="1:14" ht="36" x14ac:dyDescent="0.2">
      <c r="A76" s="231" t="s">
        <v>1095</v>
      </c>
      <c r="B76" s="9" t="s">
        <v>354</v>
      </c>
      <c r="C76" s="7" t="s">
        <v>94</v>
      </c>
      <c r="D76" s="17" t="s">
        <v>17</v>
      </c>
      <c r="E76" s="23">
        <v>32.81</v>
      </c>
      <c r="F76" s="23">
        <v>47</v>
      </c>
      <c r="G76" s="23">
        <f t="shared" si="6"/>
        <v>60.55</v>
      </c>
      <c r="H76" s="32">
        <f t="shared" si="7"/>
        <v>1542.07</v>
      </c>
      <c r="I76" s="232">
        <f t="shared" si="8"/>
        <v>1986.65</v>
      </c>
    </row>
    <row r="77" spans="1:14" ht="84" x14ac:dyDescent="0.2">
      <c r="A77" s="231" t="s">
        <v>1096</v>
      </c>
      <c r="B77" s="9" t="s">
        <v>355</v>
      </c>
      <c r="C77" s="7" t="s">
        <v>1151</v>
      </c>
      <c r="D77" s="17" t="s">
        <v>17</v>
      </c>
      <c r="E77" s="23">
        <v>8.6999999999999993</v>
      </c>
      <c r="F77" s="23">
        <v>55.92</v>
      </c>
      <c r="G77" s="23">
        <f t="shared" si="6"/>
        <v>72.040000000000006</v>
      </c>
      <c r="H77" s="32">
        <f t="shared" si="7"/>
        <v>486.5</v>
      </c>
      <c r="I77" s="232">
        <f t="shared" si="8"/>
        <v>626.75</v>
      </c>
      <c r="M77" s="20"/>
      <c r="N77" s="20"/>
    </row>
    <row r="78" spans="1:14" ht="72" x14ac:dyDescent="0.2">
      <c r="A78" s="231" t="s">
        <v>1097</v>
      </c>
      <c r="B78" s="9" t="s">
        <v>356</v>
      </c>
      <c r="C78" s="7" t="s">
        <v>96</v>
      </c>
      <c r="D78" s="17" t="s">
        <v>17</v>
      </c>
      <c r="E78" s="23">
        <v>65.59</v>
      </c>
      <c r="F78" s="23">
        <v>58.84</v>
      </c>
      <c r="G78" s="23">
        <f t="shared" si="6"/>
        <v>75.8</v>
      </c>
      <c r="H78" s="32">
        <f t="shared" si="7"/>
        <v>3859.32</v>
      </c>
      <c r="I78" s="232">
        <f t="shared" si="8"/>
        <v>4971.72</v>
      </c>
      <c r="M78" s="20"/>
      <c r="N78" s="20"/>
    </row>
    <row r="79" spans="1:14" ht="48" x14ac:dyDescent="0.2">
      <c r="A79" s="231" t="s">
        <v>1098</v>
      </c>
      <c r="B79" s="9" t="s">
        <v>706</v>
      </c>
      <c r="C79" s="7" t="s">
        <v>431</v>
      </c>
      <c r="D79" s="17" t="s">
        <v>17</v>
      </c>
      <c r="E79" s="23">
        <v>102.32</v>
      </c>
      <c r="F79" s="23">
        <v>149.9</v>
      </c>
      <c r="G79" s="23">
        <f t="shared" si="6"/>
        <v>193.1</v>
      </c>
      <c r="H79" s="32">
        <f t="shared" si="7"/>
        <v>15337.77</v>
      </c>
      <c r="I79" s="232">
        <f t="shared" si="8"/>
        <v>19757.990000000002</v>
      </c>
      <c r="M79" s="20"/>
      <c r="N79" s="20"/>
    </row>
    <row r="80" spans="1:14" ht="24" x14ac:dyDescent="0.2">
      <c r="A80" s="231" t="s">
        <v>1099</v>
      </c>
      <c r="B80" s="9" t="s">
        <v>357</v>
      </c>
      <c r="C80" s="7" t="s">
        <v>98</v>
      </c>
      <c r="D80" s="17" t="s">
        <v>45</v>
      </c>
      <c r="E80" s="23">
        <v>43.35</v>
      </c>
      <c r="F80" s="23">
        <v>29.33</v>
      </c>
      <c r="G80" s="23">
        <f t="shared" si="6"/>
        <v>37.78</v>
      </c>
      <c r="H80" s="32">
        <f t="shared" si="7"/>
        <v>1271.46</v>
      </c>
      <c r="I80" s="232">
        <f t="shared" si="8"/>
        <v>1637.76</v>
      </c>
      <c r="M80" s="20"/>
      <c r="N80" s="20"/>
    </row>
    <row r="81" spans="1:13" ht="24" x14ac:dyDescent="0.2">
      <c r="A81" s="231" t="s">
        <v>1100</v>
      </c>
      <c r="B81" s="9" t="s">
        <v>358</v>
      </c>
      <c r="C81" s="7" t="s">
        <v>433</v>
      </c>
      <c r="D81" s="17" t="s">
        <v>45</v>
      </c>
      <c r="E81" s="23">
        <v>35.5</v>
      </c>
      <c r="F81" s="23">
        <v>35.979999999999997</v>
      </c>
      <c r="G81" s="23">
        <f t="shared" si="6"/>
        <v>46.35</v>
      </c>
      <c r="H81" s="32">
        <f t="shared" si="7"/>
        <v>1277.29</v>
      </c>
      <c r="I81" s="232">
        <f t="shared" si="8"/>
        <v>1645.43</v>
      </c>
    </row>
    <row r="82" spans="1:13" ht="36" x14ac:dyDescent="0.2">
      <c r="A82" s="236" t="s">
        <v>1101</v>
      </c>
      <c r="B82" s="327" t="s">
        <v>707</v>
      </c>
      <c r="C82" s="328" t="s">
        <v>729</v>
      </c>
      <c r="D82" s="329" t="s">
        <v>45</v>
      </c>
      <c r="E82" s="330">
        <v>46.8</v>
      </c>
      <c r="F82" s="330">
        <v>21.52</v>
      </c>
      <c r="G82" s="330">
        <f t="shared" si="6"/>
        <v>27.72</v>
      </c>
      <c r="H82" s="331">
        <f t="shared" si="7"/>
        <v>1007.14</v>
      </c>
      <c r="I82" s="237">
        <f t="shared" si="8"/>
        <v>1297.3</v>
      </c>
    </row>
    <row r="83" spans="1:13" ht="48" x14ac:dyDescent="0.2">
      <c r="A83" s="231" t="s">
        <v>1102</v>
      </c>
      <c r="B83" s="9" t="s">
        <v>359</v>
      </c>
      <c r="C83" s="7" t="s">
        <v>100</v>
      </c>
      <c r="D83" s="17" t="s">
        <v>45</v>
      </c>
      <c r="E83" s="23">
        <v>62.7</v>
      </c>
      <c r="F83" s="23">
        <v>39.65</v>
      </c>
      <c r="G83" s="23">
        <f t="shared" si="6"/>
        <v>51.08</v>
      </c>
      <c r="H83" s="32">
        <f t="shared" si="7"/>
        <v>2486.06</v>
      </c>
      <c r="I83" s="232">
        <f t="shared" si="8"/>
        <v>3202.72</v>
      </c>
    </row>
    <row r="84" spans="1:13" ht="48" x14ac:dyDescent="0.2">
      <c r="A84" s="231" t="s">
        <v>1103</v>
      </c>
      <c r="B84" s="9" t="s">
        <v>360</v>
      </c>
      <c r="C84" s="7" t="s">
        <v>102</v>
      </c>
      <c r="D84" s="17" t="s">
        <v>45</v>
      </c>
      <c r="E84" s="23">
        <v>25.75</v>
      </c>
      <c r="F84" s="23">
        <v>39.5</v>
      </c>
      <c r="G84" s="23">
        <f t="shared" si="6"/>
        <v>50.88</v>
      </c>
      <c r="H84" s="32">
        <f t="shared" si="7"/>
        <v>1017.13</v>
      </c>
      <c r="I84" s="232">
        <f t="shared" si="8"/>
        <v>1310.1600000000001</v>
      </c>
      <c r="M84" s="20"/>
    </row>
    <row r="85" spans="1:13" ht="60" x14ac:dyDescent="0.2">
      <c r="A85" s="231" t="s">
        <v>1104</v>
      </c>
      <c r="B85" s="9" t="s">
        <v>361</v>
      </c>
      <c r="C85" s="7" t="s">
        <v>443</v>
      </c>
      <c r="D85" s="17" t="s">
        <v>17</v>
      </c>
      <c r="E85" s="23">
        <v>31</v>
      </c>
      <c r="F85" s="23">
        <v>80.209999999999994</v>
      </c>
      <c r="G85" s="23">
        <f t="shared" si="6"/>
        <v>103.33</v>
      </c>
      <c r="H85" s="32">
        <f t="shared" si="7"/>
        <v>2486.5100000000002</v>
      </c>
      <c r="I85" s="232">
        <f t="shared" si="8"/>
        <v>3203.23</v>
      </c>
      <c r="M85" s="20"/>
    </row>
    <row r="86" spans="1:13" ht="48" x14ac:dyDescent="0.2">
      <c r="A86" s="231" t="s">
        <v>1105</v>
      </c>
      <c r="B86" s="9" t="s">
        <v>434</v>
      </c>
      <c r="C86" s="7" t="s">
        <v>447</v>
      </c>
      <c r="D86" s="17" t="s">
        <v>17</v>
      </c>
      <c r="E86" s="23">
        <v>6.32</v>
      </c>
      <c r="F86" s="23">
        <v>146.97999999999999</v>
      </c>
      <c r="G86" s="23">
        <f t="shared" si="6"/>
        <v>189.34</v>
      </c>
      <c r="H86" s="32">
        <f t="shared" si="7"/>
        <v>928.91</v>
      </c>
      <c r="I86" s="232">
        <f t="shared" si="8"/>
        <v>1196.6300000000001</v>
      </c>
    </row>
    <row r="87" spans="1:13" ht="48" x14ac:dyDescent="0.2">
      <c r="A87" s="231">
        <v>87266</v>
      </c>
      <c r="B87" s="9" t="s">
        <v>435</v>
      </c>
      <c r="C87" s="7" t="s">
        <v>719</v>
      </c>
      <c r="D87" s="17" t="s">
        <v>17</v>
      </c>
      <c r="E87" s="23">
        <v>14.53</v>
      </c>
      <c r="F87" s="23">
        <v>56.66</v>
      </c>
      <c r="G87" s="23">
        <f t="shared" si="6"/>
        <v>72.989999999999995</v>
      </c>
      <c r="H87" s="32">
        <f t="shared" si="7"/>
        <v>823.27</v>
      </c>
      <c r="I87" s="232">
        <f t="shared" si="8"/>
        <v>1060.54</v>
      </c>
    </row>
    <row r="88" spans="1:13" ht="72" x14ac:dyDescent="0.2">
      <c r="A88" s="231" t="s">
        <v>1158</v>
      </c>
      <c r="B88" s="9" t="s">
        <v>444</v>
      </c>
      <c r="C88" s="7" t="s">
        <v>1159</v>
      </c>
      <c r="D88" s="17" t="s">
        <v>17</v>
      </c>
      <c r="E88" s="23">
        <v>68.010000000000005</v>
      </c>
      <c r="F88" s="23">
        <v>85.33</v>
      </c>
      <c r="G88" s="23">
        <f t="shared" si="6"/>
        <v>109.92</v>
      </c>
      <c r="H88" s="32">
        <f t="shared" si="7"/>
        <v>5803.29</v>
      </c>
      <c r="I88" s="232">
        <f t="shared" si="8"/>
        <v>7475.66</v>
      </c>
      <c r="J88" s="20"/>
    </row>
    <row r="89" spans="1:13" ht="60" x14ac:dyDescent="0.2">
      <c r="A89" s="231" t="s">
        <v>1160</v>
      </c>
      <c r="B89" s="9" t="s">
        <v>448</v>
      </c>
      <c r="C89" s="7" t="s">
        <v>1161</v>
      </c>
      <c r="D89" s="17" t="s">
        <v>17</v>
      </c>
      <c r="E89" s="23">
        <v>1.27</v>
      </c>
      <c r="F89" s="23">
        <v>172.57</v>
      </c>
      <c r="G89" s="23">
        <f t="shared" si="6"/>
        <v>222.3</v>
      </c>
      <c r="H89" s="32">
        <f t="shared" si="7"/>
        <v>219.16</v>
      </c>
      <c r="I89" s="232">
        <f t="shared" si="8"/>
        <v>282.32</v>
      </c>
      <c r="J89" s="20"/>
    </row>
    <row r="90" spans="1:13" x14ac:dyDescent="0.2">
      <c r="A90" s="231"/>
      <c r="B90" s="9"/>
      <c r="C90" s="22"/>
      <c r="D90" s="22"/>
      <c r="E90" s="23"/>
      <c r="F90" s="23"/>
      <c r="G90" s="23"/>
      <c r="H90" s="32"/>
      <c r="I90" s="232"/>
    </row>
    <row r="91" spans="1:13" x14ac:dyDescent="0.2">
      <c r="A91" s="233"/>
      <c r="B91" s="51" t="s">
        <v>12</v>
      </c>
      <c r="C91" s="52" t="s">
        <v>103</v>
      </c>
      <c r="D91" s="51"/>
      <c r="E91" s="54"/>
      <c r="F91" s="54"/>
      <c r="G91" s="54"/>
      <c r="H91" s="58">
        <f>SUM(H92:H93)</f>
        <v>57885.700000000004</v>
      </c>
      <c r="I91" s="234">
        <f>SUM(I92:I95)</f>
        <v>124955.9</v>
      </c>
    </row>
    <row r="92" spans="1:13" ht="48" x14ac:dyDescent="0.2">
      <c r="A92" s="240" t="s">
        <v>1106</v>
      </c>
      <c r="B92" s="9" t="s">
        <v>309</v>
      </c>
      <c r="C92" s="7" t="s">
        <v>105</v>
      </c>
      <c r="D92" s="17" t="s">
        <v>17</v>
      </c>
      <c r="E92" s="23">
        <v>100.8</v>
      </c>
      <c r="F92" s="23">
        <v>500.82</v>
      </c>
      <c r="G92" s="23">
        <f>ROUND($F92*$D$235,2)</f>
        <v>645.16</v>
      </c>
      <c r="H92" s="32">
        <f>ROUND($E92*$F92,2)</f>
        <v>50482.66</v>
      </c>
      <c r="I92" s="232">
        <f>ROUND($E92*$G92,2)</f>
        <v>65032.13</v>
      </c>
      <c r="M92" s="20"/>
    </row>
    <row r="93" spans="1:13" ht="36" x14ac:dyDescent="0.2">
      <c r="A93" s="231" t="s">
        <v>1107</v>
      </c>
      <c r="B93" s="9" t="s">
        <v>362</v>
      </c>
      <c r="C93" s="7" t="s">
        <v>657</v>
      </c>
      <c r="D93" s="17" t="s">
        <v>17</v>
      </c>
      <c r="E93" s="23">
        <v>8</v>
      </c>
      <c r="F93" s="23">
        <v>925.38</v>
      </c>
      <c r="G93" s="23">
        <f>ROUND($F93*$D$235,2)</f>
        <v>1192.07</v>
      </c>
      <c r="H93" s="32">
        <f>ROUND($E93*$F93,2)</f>
        <v>7403.04</v>
      </c>
      <c r="I93" s="232">
        <f>ROUND($E93*$G93,2)</f>
        <v>9536.56</v>
      </c>
    </row>
    <row r="94" spans="1:13" ht="108" x14ac:dyDescent="0.2">
      <c r="A94" s="231" t="s">
        <v>1162</v>
      </c>
      <c r="B94" s="9" t="s">
        <v>798</v>
      </c>
      <c r="C94" s="7" t="s">
        <v>1163</v>
      </c>
      <c r="D94" s="17" t="s">
        <v>16</v>
      </c>
      <c r="E94" s="23">
        <v>7</v>
      </c>
      <c r="F94" s="23">
        <v>101.2</v>
      </c>
      <c r="G94" s="23">
        <f>ROUND($F94*$D$235,2)</f>
        <v>130.37</v>
      </c>
      <c r="H94" s="32">
        <f>ROUND($E94*$F94,2)</f>
        <v>708.4</v>
      </c>
      <c r="I94" s="232">
        <f>ROUND($E94*$G94,2)</f>
        <v>912.59</v>
      </c>
    </row>
    <row r="95" spans="1:13" x14ac:dyDescent="0.2">
      <c r="A95" s="240" t="s">
        <v>799</v>
      </c>
      <c r="B95" s="9" t="s">
        <v>1164</v>
      </c>
      <c r="C95" s="7" t="s">
        <v>800</v>
      </c>
      <c r="D95" s="17" t="s">
        <v>17</v>
      </c>
      <c r="E95" s="23">
        <v>108.8</v>
      </c>
      <c r="F95" s="23">
        <v>353</v>
      </c>
      <c r="G95" s="23">
        <f>ROUND($F95*$D$235,2)</f>
        <v>454.73</v>
      </c>
      <c r="H95" s="32">
        <f t="shared" ref="H95" si="9">ROUND($E95*$F95,2)</f>
        <v>38406.400000000001</v>
      </c>
      <c r="I95" s="232">
        <f t="shared" ref="I95" si="10">ROUND($E95*$G95,2)</f>
        <v>49474.62</v>
      </c>
    </row>
    <row r="96" spans="1:13" x14ac:dyDescent="0.2">
      <c r="A96" s="231"/>
      <c r="B96" s="9"/>
      <c r="C96" s="9"/>
      <c r="D96" s="9"/>
      <c r="E96" s="23"/>
      <c r="F96" s="23"/>
      <c r="G96" s="23"/>
      <c r="H96" s="32"/>
      <c r="I96" s="232"/>
    </row>
    <row r="97" spans="1:9" x14ac:dyDescent="0.2">
      <c r="A97" s="233"/>
      <c r="B97" s="51" t="s">
        <v>13</v>
      </c>
      <c r="C97" s="52" t="s">
        <v>114</v>
      </c>
      <c r="D97" s="51"/>
      <c r="E97" s="54"/>
      <c r="F97" s="54"/>
      <c r="G97" s="54"/>
      <c r="H97" s="58">
        <f>SUM(H98:H108)</f>
        <v>5799.9400000000005</v>
      </c>
      <c r="I97" s="234">
        <f>SUM(I98:I108)</f>
        <v>7471.5100000000011</v>
      </c>
    </row>
    <row r="98" spans="1:9" ht="60" x14ac:dyDescent="0.2">
      <c r="A98" s="231" t="s">
        <v>1108</v>
      </c>
      <c r="B98" s="9" t="s">
        <v>310</v>
      </c>
      <c r="C98" s="7" t="s">
        <v>108</v>
      </c>
      <c r="D98" s="17" t="s">
        <v>16</v>
      </c>
      <c r="E98" s="23">
        <v>1</v>
      </c>
      <c r="F98" s="23">
        <v>166.87</v>
      </c>
      <c r="G98" s="23">
        <f t="shared" ref="G98:G108" si="11">ROUND($F98*$D$235,2)</f>
        <v>214.96</v>
      </c>
      <c r="H98" s="32">
        <f t="shared" ref="H98:H108" si="12">ROUND($E98*$F98,2)</f>
        <v>166.87</v>
      </c>
      <c r="I98" s="232">
        <f t="shared" ref="I98:I108" si="13">ROUND($E98*$G98,2)</f>
        <v>214.96</v>
      </c>
    </row>
    <row r="99" spans="1:9" ht="72" x14ac:dyDescent="0.2">
      <c r="A99" s="236" t="s">
        <v>1109</v>
      </c>
      <c r="B99" s="327" t="s">
        <v>363</v>
      </c>
      <c r="C99" s="328" t="s">
        <v>112</v>
      </c>
      <c r="D99" s="329" t="s">
        <v>16</v>
      </c>
      <c r="E99" s="330">
        <v>7</v>
      </c>
      <c r="F99" s="330">
        <v>100.02</v>
      </c>
      <c r="G99" s="330">
        <f t="shared" si="11"/>
        <v>128.85</v>
      </c>
      <c r="H99" s="331">
        <f t="shared" si="12"/>
        <v>700.14</v>
      </c>
      <c r="I99" s="334">
        <f t="shared" si="13"/>
        <v>901.95</v>
      </c>
    </row>
    <row r="100" spans="1:9" ht="60" x14ac:dyDescent="0.2">
      <c r="A100" s="231" t="s">
        <v>1110</v>
      </c>
      <c r="B100" s="9" t="s">
        <v>364</v>
      </c>
      <c r="C100" s="7" t="s">
        <v>110</v>
      </c>
      <c r="D100" s="17" t="s">
        <v>16</v>
      </c>
      <c r="E100" s="23">
        <v>1</v>
      </c>
      <c r="F100" s="23">
        <v>95.76</v>
      </c>
      <c r="G100" s="23">
        <f t="shared" si="11"/>
        <v>123.36</v>
      </c>
      <c r="H100" s="32">
        <f t="shared" si="12"/>
        <v>95.76</v>
      </c>
      <c r="I100" s="232">
        <f t="shared" si="13"/>
        <v>123.36</v>
      </c>
    </row>
    <row r="101" spans="1:9" ht="84" x14ac:dyDescent="0.2">
      <c r="A101" s="231" t="s">
        <v>1111</v>
      </c>
      <c r="B101" s="9" t="s">
        <v>365</v>
      </c>
      <c r="C101" s="7" t="s">
        <v>116</v>
      </c>
      <c r="D101" s="17" t="s">
        <v>16</v>
      </c>
      <c r="E101" s="23">
        <v>1</v>
      </c>
      <c r="F101" s="23">
        <v>9.42</v>
      </c>
      <c r="G101" s="23">
        <f t="shared" si="11"/>
        <v>12.13</v>
      </c>
      <c r="H101" s="32">
        <f t="shared" si="12"/>
        <v>9.42</v>
      </c>
      <c r="I101" s="232">
        <f t="shared" si="13"/>
        <v>12.13</v>
      </c>
    </row>
    <row r="102" spans="1:9" ht="96" x14ac:dyDescent="0.2">
      <c r="A102" s="231" t="s">
        <v>1112</v>
      </c>
      <c r="B102" s="9" t="s">
        <v>366</v>
      </c>
      <c r="C102" s="7" t="s">
        <v>285</v>
      </c>
      <c r="D102" s="17" t="s">
        <v>16</v>
      </c>
      <c r="E102" s="23">
        <v>5</v>
      </c>
      <c r="F102" s="23">
        <v>303.68</v>
      </c>
      <c r="G102" s="23">
        <f t="shared" si="11"/>
        <v>391.2</v>
      </c>
      <c r="H102" s="32">
        <f t="shared" si="12"/>
        <v>1518.4</v>
      </c>
      <c r="I102" s="232">
        <f t="shared" si="13"/>
        <v>1956</v>
      </c>
    </row>
    <row r="103" spans="1:9" ht="108" x14ac:dyDescent="0.2">
      <c r="A103" s="231" t="s">
        <v>1113</v>
      </c>
      <c r="B103" s="9" t="s">
        <v>367</v>
      </c>
      <c r="C103" s="7" t="s">
        <v>662</v>
      </c>
      <c r="D103" s="17" t="s">
        <v>16</v>
      </c>
      <c r="E103" s="23">
        <v>4</v>
      </c>
      <c r="F103" s="23">
        <v>268.43</v>
      </c>
      <c r="G103" s="23">
        <f t="shared" si="11"/>
        <v>345.79</v>
      </c>
      <c r="H103" s="32">
        <f t="shared" si="12"/>
        <v>1073.72</v>
      </c>
      <c r="I103" s="232">
        <f t="shared" si="13"/>
        <v>1383.16</v>
      </c>
    </row>
    <row r="104" spans="1:9" ht="48" x14ac:dyDescent="0.2">
      <c r="A104" s="231" t="s">
        <v>1114</v>
      </c>
      <c r="B104" s="9" t="s">
        <v>368</v>
      </c>
      <c r="C104" s="7" t="s">
        <v>286</v>
      </c>
      <c r="D104" s="17" t="s">
        <v>16</v>
      </c>
      <c r="E104" s="23">
        <v>5</v>
      </c>
      <c r="F104" s="23">
        <v>149.61000000000001</v>
      </c>
      <c r="G104" s="23">
        <f t="shared" si="11"/>
        <v>192.73</v>
      </c>
      <c r="H104" s="32">
        <f t="shared" si="12"/>
        <v>748.05</v>
      </c>
      <c r="I104" s="232">
        <f t="shared" si="13"/>
        <v>963.65</v>
      </c>
    </row>
    <row r="105" spans="1:9" ht="48" x14ac:dyDescent="0.2">
      <c r="A105" s="231" t="s">
        <v>1115</v>
      </c>
      <c r="B105" s="9" t="s">
        <v>369</v>
      </c>
      <c r="C105" s="7" t="s">
        <v>287</v>
      </c>
      <c r="D105" s="17" t="s">
        <v>16</v>
      </c>
      <c r="E105" s="23">
        <v>2</v>
      </c>
      <c r="F105" s="23">
        <v>205.47</v>
      </c>
      <c r="G105" s="23">
        <f t="shared" si="11"/>
        <v>264.69</v>
      </c>
      <c r="H105" s="32">
        <f t="shared" si="12"/>
        <v>410.94</v>
      </c>
      <c r="I105" s="232">
        <f t="shared" si="13"/>
        <v>529.38</v>
      </c>
    </row>
    <row r="106" spans="1:9" ht="48" x14ac:dyDescent="0.2">
      <c r="A106" s="231" t="s">
        <v>1116</v>
      </c>
      <c r="B106" s="9" t="s">
        <v>370</v>
      </c>
      <c r="C106" s="7" t="s">
        <v>288</v>
      </c>
      <c r="D106" s="17" t="s">
        <v>16</v>
      </c>
      <c r="E106" s="23">
        <v>1</v>
      </c>
      <c r="F106" s="23">
        <v>203.62</v>
      </c>
      <c r="G106" s="23">
        <f t="shared" si="11"/>
        <v>262.3</v>
      </c>
      <c r="H106" s="32">
        <f t="shared" si="12"/>
        <v>203.62</v>
      </c>
      <c r="I106" s="232">
        <f t="shared" si="13"/>
        <v>262.3</v>
      </c>
    </row>
    <row r="107" spans="1:9" ht="72" x14ac:dyDescent="0.2">
      <c r="A107" s="231" t="s">
        <v>1117</v>
      </c>
      <c r="B107" s="9" t="s">
        <v>371</v>
      </c>
      <c r="C107" s="7" t="s">
        <v>665</v>
      </c>
      <c r="D107" s="17" t="s">
        <v>16</v>
      </c>
      <c r="E107" s="23">
        <v>4</v>
      </c>
      <c r="F107" s="23">
        <v>203.69</v>
      </c>
      <c r="G107" s="23">
        <f t="shared" si="11"/>
        <v>262.39</v>
      </c>
      <c r="H107" s="32">
        <f t="shared" si="12"/>
        <v>814.76</v>
      </c>
      <c r="I107" s="232">
        <f t="shared" si="13"/>
        <v>1049.56</v>
      </c>
    </row>
    <row r="108" spans="1:9" ht="24" x14ac:dyDescent="0.2">
      <c r="A108" s="231" t="s">
        <v>1118</v>
      </c>
      <c r="B108" s="9" t="s">
        <v>372</v>
      </c>
      <c r="C108" s="7" t="s">
        <v>667</v>
      </c>
      <c r="D108" s="17" t="s">
        <v>16</v>
      </c>
      <c r="E108" s="23">
        <v>3</v>
      </c>
      <c r="F108" s="23">
        <v>19.420000000000002</v>
      </c>
      <c r="G108" s="23">
        <f t="shared" si="11"/>
        <v>25.02</v>
      </c>
      <c r="H108" s="32">
        <f t="shared" si="12"/>
        <v>58.26</v>
      </c>
      <c r="I108" s="232">
        <f t="shared" si="13"/>
        <v>75.06</v>
      </c>
    </row>
    <row r="109" spans="1:9" x14ac:dyDescent="0.2">
      <c r="A109" s="231"/>
      <c r="B109" s="9"/>
      <c r="C109" s="7"/>
      <c r="D109" s="17"/>
      <c r="E109" s="23"/>
      <c r="F109" s="23"/>
      <c r="G109" s="23"/>
      <c r="H109" s="32"/>
      <c r="I109" s="232"/>
    </row>
    <row r="110" spans="1:9" x14ac:dyDescent="0.2">
      <c r="A110" s="233"/>
      <c r="B110" s="51" t="s">
        <v>124</v>
      </c>
      <c r="C110" s="52" t="s">
        <v>10</v>
      </c>
      <c r="D110" s="51"/>
      <c r="E110" s="54"/>
      <c r="F110" s="54"/>
      <c r="G110" s="54"/>
      <c r="H110" s="58">
        <f>SUM(H111:H115)</f>
        <v>35274.35</v>
      </c>
      <c r="I110" s="234">
        <f>SUM(I111:I115)</f>
        <v>45440.06</v>
      </c>
    </row>
    <row r="111" spans="1:9" ht="72" x14ac:dyDescent="0.2">
      <c r="A111" s="231" t="s">
        <v>1119</v>
      </c>
      <c r="B111" s="9" t="s">
        <v>311</v>
      </c>
      <c r="C111" s="7" t="s">
        <v>289</v>
      </c>
      <c r="D111" s="17" t="s">
        <v>17</v>
      </c>
      <c r="E111" s="23">
        <v>52.8</v>
      </c>
      <c r="F111" s="23">
        <v>138.72999999999999</v>
      </c>
      <c r="G111" s="23">
        <f>ROUND($F111*$D$235,2)</f>
        <v>178.71</v>
      </c>
      <c r="H111" s="32">
        <f>ROUND($E111*$F111,2)</f>
        <v>7324.94</v>
      </c>
      <c r="I111" s="232">
        <f>ROUND($E111*$G111,2)</f>
        <v>9435.89</v>
      </c>
    </row>
    <row r="112" spans="1:9" ht="48" x14ac:dyDescent="0.2">
      <c r="A112" s="231" t="s">
        <v>1120</v>
      </c>
      <c r="B112" s="9" t="s">
        <v>373</v>
      </c>
      <c r="C112" s="7" t="s">
        <v>290</v>
      </c>
      <c r="D112" s="17" t="s">
        <v>17</v>
      </c>
      <c r="E112" s="23">
        <v>26.4</v>
      </c>
      <c r="F112" s="23">
        <v>368.07</v>
      </c>
      <c r="G112" s="23">
        <f>ROUND($F112*$D$235,2)</f>
        <v>474.15</v>
      </c>
      <c r="H112" s="32">
        <f>ROUND($E112*$F112,2)</f>
        <v>9717.0499999999993</v>
      </c>
      <c r="I112" s="232">
        <f>ROUND($E112*$G112,2)</f>
        <v>12517.56</v>
      </c>
    </row>
    <row r="113" spans="1:13" ht="36" x14ac:dyDescent="0.2">
      <c r="A113" s="231" t="s">
        <v>1121</v>
      </c>
      <c r="B113" s="9" t="s">
        <v>374</v>
      </c>
      <c r="C113" s="7" t="s">
        <v>291</v>
      </c>
      <c r="D113" s="17" t="s">
        <v>17</v>
      </c>
      <c r="E113" s="23">
        <v>52.8</v>
      </c>
      <c r="F113" s="23">
        <v>303.17</v>
      </c>
      <c r="G113" s="23">
        <f>ROUND($F113*$D$235,2)</f>
        <v>390.54</v>
      </c>
      <c r="H113" s="32">
        <f>ROUND($E113*$F113,2)</f>
        <v>16007.38</v>
      </c>
      <c r="I113" s="232">
        <f>ROUND($E113*$G113,2)</f>
        <v>20620.509999999998</v>
      </c>
    </row>
    <row r="114" spans="1:13" ht="36" x14ac:dyDescent="0.2">
      <c r="A114" s="236" t="s">
        <v>1122</v>
      </c>
      <c r="B114" s="327" t="s">
        <v>375</v>
      </c>
      <c r="C114" s="328" t="s">
        <v>129</v>
      </c>
      <c r="D114" s="329" t="s">
        <v>45</v>
      </c>
      <c r="E114" s="330">
        <v>9.6</v>
      </c>
      <c r="F114" s="330">
        <v>50.37</v>
      </c>
      <c r="G114" s="330">
        <f>ROUND($F114*$D$235,2)</f>
        <v>64.89</v>
      </c>
      <c r="H114" s="331">
        <f>ROUND($E114*$F114,2)</f>
        <v>483.55</v>
      </c>
      <c r="I114" s="237">
        <f>ROUND($E114*$G114,2)</f>
        <v>622.94000000000005</v>
      </c>
    </row>
    <row r="115" spans="1:13" ht="120" x14ac:dyDescent="0.2">
      <c r="A115" s="231" t="s">
        <v>1123</v>
      </c>
      <c r="B115" s="9" t="s">
        <v>376</v>
      </c>
      <c r="C115" s="7" t="s">
        <v>292</v>
      </c>
      <c r="D115" s="17" t="s">
        <v>17</v>
      </c>
      <c r="E115" s="23">
        <v>30.8</v>
      </c>
      <c r="F115" s="23">
        <v>56.54</v>
      </c>
      <c r="G115" s="23">
        <f>ROUND($F115*$D$235,2)</f>
        <v>72.83</v>
      </c>
      <c r="H115" s="32">
        <f>ROUND($E115*$F115,2)</f>
        <v>1741.43</v>
      </c>
      <c r="I115" s="232">
        <f>ROUND($E115*$G115,2)</f>
        <v>2243.16</v>
      </c>
      <c r="M115" s="5"/>
    </row>
    <row r="116" spans="1:13" ht="15" x14ac:dyDescent="0.2">
      <c r="A116" s="231"/>
      <c r="B116" s="9"/>
      <c r="C116" s="7"/>
      <c r="D116" s="17"/>
      <c r="E116" s="23"/>
      <c r="F116" s="59"/>
      <c r="G116" s="23"/>
      <c r="H116" s="32"/>
      <c r="I116" s="232"/>
      <c r="M116" s="5"/>
    </row>
    <row r="117" spans="1:13" x14ac:dyDescent="0.2">
      <c r="A117" s="241"/>
      <c r="B117" s="146" t="s">
        <v>125</v>
      </c>
      <c r="C117" s="147" t="s">
        <v>1037</v>
      </c>
      <c r="D117" s="148"/>
      <c r="E117" s="149"/>
      <c r="F117" s="148"/>
      <c r="G117" s="150"/>
      <c r="H117" s="151">
        <f>H119+H184+H194</f>
        <v>324481.2</v>
      </c>
      <c r="I117" s="242">
        <f>I119+I184+I194</f>
        <v>417978.7699999999</v>
      </c>
      <c r="M117" s="5"/>
    </row>
    <row r="118" spans="1:13" s="152" customFormat="1" ht="10.5" customHeight="1" x14ac:dyDescent="0.2">
      <c r="A118" s="243"/>
      <c r="B118" s="169"/>
      <c r="C118" s="156"/>
      <c r="D118" s="155"/>
      <c r="E118" s="154"/>
      <c r="F118" s="155"/>
      <c r="G118" s="158"/>
      <c r="H118" s="159"/>
      <c r="I118" s="244"/>
      <c r="M118" s="153"/>
    </row>
    <row r="119" spans="1:13" s="152" customFormat="1" x14ac:dyDescent="0.2">
      <c r="A119" s="243"/>
      <c r="B119" s="169" t="s">
        <v>312</v>
      </c>
      <c r="C119" s="156" t="s">
        <v>909</v>
      </c>
      <c r="D119" s="155"/>
      <c r="E119" s="154"/>
      <c r="F119" s="155"/>
      <c r="G119" s="158"/>
      <c r="H119" s="159">
        <f>SUM(H121:H182)</f>
        <v>174894.4</v>
      </c>
      <c r="I119" s="244">
        <f>SUM(I121:I182)</f>
        <v>225286.87999999995</v>
      </c>
      <c r="M119" s="153"/>
    </row>
    <row r="120" spans="1:13" x14ac:dyDescent="0.2">
      <c r="A120" s="245"/>
      <c r="B120" s="170"/>
      <c r="C120" s="160"/>
      <c r="D120" s="161"/>
      <c r="E120" s="162"/>
      <c r="F120" s="161"/>
      <c r="G120" s="163"/>
      <c r="H120" s="164"/>
      <c r="I120" s="246"/>
      <c r="M120" s="5"/>
    </row>
    <row r="121" spans="1:13" ht="48" x14ac:dyDescent="0.2">
      <c r="A121" s="247" t="s">
        <v>801</v>
      </c>
      <c r="B121" s="172" t="s">
        <v>910</v>
      </c>
      <c r="C121" s="171" t="s">
        <v>802</v>
      </c>
      <c r="D121" s="165" t="s">
        <v>803</v>
      </c>
      <c r="E121" s="166">
        <v>70</v>
      </c>
      <c r="F121" s="165">
        <v>114.71</v>
      </c>
      <c r="G121" s="23">
        <f t="shared" ref="G121:G152" si="14">ROUND($F121*$D$235,2)</f>
        <v>147.77000000000001</v>
      </c>
      <c r="H121" s="32">
        <f>ROUND($E121*$F121,2)</f>
        <v>8029.7</v>
      </c>
      <c r="I121" s="232">
        <f>ROUND($E121*$G121,2)</f>
        <v>10343.9</v>
      </c>
      <c r="M121" s="5"/>
    </row>
    <row r="122" spans="1:13" ht="48" x14ac:dyDescent="0.2">
      <c r="A122" s="247" t="s">
        <v>804</v>
      </c>
      <c r="B122" s="172" t="s">
        <v>911</v>
      </c>
      <c r="C122" s="171" t="s">
        <v>805</v>
      </c>
      <c r="D122" s="172" t="s">
        <v>803</v>
      </c>
      <c r="E122" s="166">
        <v>45</v>
      </c>
      <c r="F122" s="165">
        <v>58.3</v>
      </c>
      <c r="G122" s="23">
        <f t="shared" si="14"/>
        <v>75.099999999999994</v>
      </c>
      <c r="H122" s="32">
        <f>ROUND($E122*$F122,2)</f>
        <v>2623.5</v>
      </c>
      <c r="I122" s="232">
        <f>ROUND($E122*$G122,2)</f>
        <v>3379.5</v>
      </c>
      <c r="M122" s="5"/>
    </row>
    <row r="123" spans="1:13" ht="36" x14ac:dyDescent="0.2">
      <c r="A123" s="247" t="s">
        <v>806</v>
      </c>
      <c r="B123" s="172" t="s">
        <v>912</v>
      </c>
      <c r="C123" s="171" t="s">
        <v>807</v>
      </c>
      <c r="D123" s="165" t="s">
        <v>803</v>
      </c>
      <c r="E123" s="166">
        <v>160</v>
      </c>
      <c r="F123" s="165">
        <v>50.3</v>
      </c>
      <c r="G123" s="23">
        <f t="shared" si="14"/>
        <v>64.8</v>
      </c>
      <c r="H123" s="32">
        <f t="shared" ref="H123:H186" si="15">ROUND($E123*$F123,2)</f>
        <v>8048</v>
      </c>
      <c r="I123" s="232">
        <f t="shared" ref="I123:I186" si="16">ROUND($E123*$G123,2)</f>
        <v>10368</v>
      </c>
      <c r="M123" s="5"/>
    </row>
    <row r="124" spans="1:13" ht="36" x14ac:dyDescent="0.2">
      <c r="A124" s="248" t="s">
        <v>808</v>
      </c>
      <c r="B124" s="172" t="s">
        <v>913</v>
      </c>
      <c r="C124" s="173" t="s">
        <v>809</v>
      </c>
      <c r="D124" s="166" t="s">
        <v>810</v>
      </c>
      <c r="E124" s="165">
        <v>122</v>
      </c>
      <c r="F124" s="165">
        <v>10.18</v>
      </c>
      <c r="G124" s="23">
        <f t="shared" si="14"/>
        <v>13.11</v>
      </c>
      <c r="H124" s="32">
        <f t="shared" si="15"/>
        <v>1241.96</v>
      </c>
      <c r="I124" s="232">
        <f t="shared" si="16"/>
        <v>1599.42</v>
      </c>
      <c r="M124" s="5"/>
    </row>
    <row r="125" spans="1:13" ht="72" x14ac:dyDescent="0.2">
      <c r="A125" s="249" t="s">
        <v>811</v>
      </c>
      <c r="B125" s="172" t="s">
        <v>914</v>
      </c>
      <c r="C125" s="171" t="s">
        <v>812</v>
      </c>
      <c r="D125" s="165" t="s">
        <v>810</v>
      </c>
      <c r="E125" s="167">
        <v>69</v>
      </c>
      <c r="F125" s="168">
        <v>219.55</v>
      </c>
      <c r="G125" s="23">
        <f t="shared" si="14"/>
        <v>282.82</v>
      </c>
      <c r="H125" s="32">
        <f t="shared" si="15"/>
        <v>15148.95</v>
      </c>
      <c r="I125" s="232">
        <f t="shared" si="16"/>
        <v>19514.580000000002</v>
      </c>
      <c r="M125" s="5"/>
    </row>
    <row r="126" spans="1:13" ht="72" x14ac:dyDescent="0.2">
      <c r="A126" s="249" t="s">
        <v>813</v>
      </c>
      <c r="B126" s="172" t="s">
        <v>915</v>
      </c>
      <c r="C126" s="171" t="s">
        <v>814</v>
      </c>
      <c r="D126" s="165" t="s">
        <v>810</v>
      </c>
      <c r="E126" s="167">
        <v>49</v>
      </c>
      <c r="F126" s="168">
        <v>192.73</v>
      </c>
      <c r="G126" s="23">
        <f t="shared" si="14"/>
        <v>248.27</v>
      </c>
      <c r="H126" s="32">
        <f t="shared" si="15"/>
        <v>9443.77</v>
      </c>
      <c r="I126" s="232">
        <f t="shared" si="16"/>
        <v>12165.23</v>
      </c>
      <c r="M126" s="5"/>
    </row>
    <row r="127" spans="1:13" ht="72" x14ac:dyDescent="0.2">
      <c r="A127" s="247" t="s">
        <v>815</v>
      </c>
      <c r="B127" s="172" t="s">
        <v>916</v>
      </c>
      <c r="C127" s="171" t="s">
        <v>816</v>
      </c>
      <c r="D127" s="165" t="s">
        <v>810</v>
      </c>
      <c r="E127" s="166">
        <v>18</v>
      </c>
      <c r="F127" s="165">
        <v>145.1</v>
      </c>
      <c r="G127" s="23">
        <f t="shared" si="14"/>
        <v>186.92</v>
      </c>
      <c r="H127" s="32">
        <f t="shared" si="15"/>
        <v>2611.8000000000002</v>
      </c>
      <c r="I127" s="232">
        <f t="shared" si="16"/>
        <v>3364.56</v>
      </c>
      <c r="M127" s="5"/>
    </row>
    <row r="128" spans="1:13" ht="72" x14ac:dyDescent="0.2">
      <c r="A128" s="247" t="s">
        <v>817</v>
      </c>
      <c r="B128" s="172" t="s">
        <v>917</v>
      </c>
      <c r="C128" s="171" t="s">
        <v>818</v>
      </c>
      <c r="D128" s="165" t="s">
        <v>810</v>
      </c>
      <c r="E128" s="166">
        <v>3</v>
      </c>
      <c r="F128" s="165">
        <v>318.47000000000003</v>
      </c>
      <c r="G128" s="23">
        <f t="shared" si="14"/>
        <v>410.25</v>
      </c>
      <c r="H128" s="32">
        <f t="shared" si="15"/>
        <v>955.41</v>
      </c>
      <c r="I128" s="232">
        <f t="shared" si="16"/>
        <v>1230.75</v>
      </c>
      <c r="M128" s="5"/>
    </row>
    <row r="129" spans="1:13" ht="36" x14ac:dyDescent="0.2">
      <c r="A129" s="247" t="s">
        <v>819</v>
      </c>
      <c r="B129" s="172" t="s">
        <v>918</v>
      </c>
      <c r="C129" s="171" t="s">
        <v>820</v>
      </c>
      <c r="D129" s="165" t="s">
        <v>810</v>
      </c>
      <c r="E129" s="166">
        <v>21</v>
      </c>
      <c r="F129" s="165">
        <v>6.49</v>
      </c>
      <c r="G129" s="23">
        <f t="shared" si="14"/>
        <v>8.36</v>
      </c>
      <c r="H129" s="32">
        <f t="shared" si="15"/>
        <v>136.29</v>
      </c>
      <c r="I129" s="232">
        <f t="shared" si="16"/>
        <v>175.56</v>
      </c>
      <c r="M129" s="5"/>
    </row>
    <row r="130" spans="1:13" ht="36" x14ac:dyDescent="0.2">
      <c r="A130" s="247" t="s">
        <v>821</v>
      </c>
      <c r="B130" s="172" t="s">
        <v>919</v>
      </c>
      <c r="C130" s="171" t="s">
        <v>822</v>
      </c>
      <c r="D130" s="165" t="s">
        <v>810</v>
      </c>
      <c r="E130" s="166">
        <v>1</v>
      </c>
      <c r="F130" s="165">
        <v>14.96</v>
      </c>
      <c r="G130" s="23">
        <f t="shared" si="14"/>
        <v>19.27</v>
      </c>
      <c r="H130" s="32">
        <f t="shared" si="15"/>
        <v>14.96</v>
      </c>
      <c r="I130" s="232">
        <f t="shared" si="16"/>
        <v>19.27</v>
      </c>
      <c r="M130" s="5"/>
    </row>
    <row r="131" spans="1:13" ht="36" x14ac:dyDescent="0.2">
      <c r="A131" s="247" t="s">
        <v>823</v>
      </c>
      <c r="B131" s="172" t="s">
        <v>920</v>
      </c>
      <c r="C131" s="171" t="s">
        <v>824</v>
      </c>
      <c r="D131" s="165" t="s">
        <v>810</v>
      </c>
      <c r="E131" s="166">
        <v>2</v>
      </c>
      <c r="F131" s="165">
        <v>12.76</v>
      </c>
      <c r="G131" s="23">
        <f t="shared" si="14"/>
        <v>16.440000000000001</v>
      </c>
      <c r="H131" s="32">
        <f t="shared" si="15"/>
        <v>25.52</v>
      </c>
      <c r="I131" s="232">
        <f t="shared" si="16"/>
        <v>32.880000000000003</v>
      </c>
      <c r="M131" s="5"/>
    </row>
    <row r="132" spans="1:13" ht="36" x14ac:dyDescent="0.2">
      <c r="A132" s="247" t="s">
        <v>825</v>
      </c>
      <c r="B132" s="172" t="s">
        <v>921</v>
      </c>
      <c r="C132" s="171" t="s">
        <v>826</v>
      </c>
      <c r="D132" s="165" t="s">
        <v>810</v>
      </c>
      <c r="E132" s="166">
        <v>12</v>
      </c>
      <c r="F132" s="165">
        <v>10.52</v>
      </c>
      <c r="G132" s="23">
        <f t="shared" si="14"/>
        <v>13.55</v>
      </c>
      <c r="H132" s="32">
        <f t="shared" si="15"/>
        <v>126.24</v>
      </c>
      <c r="I132" s="232">
        <f t="shared" si="16"/>
        <v>162.6</v>
      </c>
      <c r="M132" s="5"/>
    </row>
    <row r="133" spans="1:13" ht="24" x14ac:dyDescent="0.2">
      <c r="A133" s="250" t="s">
        <v>827</v>
      </c>
      <c r="B133" s="332" t="s">
        <v>922</v>
      </c>
      <c r="C133" s="219" t="s">
        <v>828</v>
      </c>
      <c r="D133" s="333" t="s">
        <v>810</v>
      </c>
      <c r="E133" s="220">
        <v>4</v>
      </c>
      <c r="F133" s="333">
        <v>10.96</v>
      </c>
      <c r="G133" s="25">
        <f t="shared" si="14"/>
        <v>14.12</v>
      </c>
      <c r="H133" s="56">
        <f t="shared" si="15"/>
        <v>43.84</v>
      </c>
      <c r="I133" s="334">
        <f t="shared" si="16"/>
        <v>56.48</v>
      </c>
      <c r="M133" s="5"/>
    </row>
    <row r="134" spans="1:13" ht="24" x14ac:dyDescent="0.2">
      <c r="A134" s="247" t="s">
        <v>827</v>
      </c>
      <c r="B134" s="172" t="s">
        <v>923</v>
      </c>
      <c r="C134" s="171" t="s">
        <v>829</v>
      </c>
      <c r="D134" s="165" t="s">
        <v>810</v>
      </c>
      <c r="E134" s="166">
        <v>19</v>
      </c>
      <c r="F134" s="165">
        <v>10.96</v>
      </c>
      <c r="G134" s="23">
        <f t="shared" si="14"/>
        <v>14.12</v>
      </c>
      <c r="H134" s="32">
        <f t="shared" si="15"/>
        <v>208.24</v>
      </c>
      <c r="I134" s="232">
        <f t="shared" si="16"/>
        <v>268.27999999999997</v>
      </c>
      <c r="M134" s="5"/>
    </row>
    <row r="135" spans="1:13" ht="24" x14ac:dyDescent="0.2">
      <c r="A135" s="247" t="s">
        <v>830</v>
      </c>
      <c r="B135" s="172" t="s">
        <v>924</v>
      </c>
      <c r="C135" s="171" t="s">
        <v>831</v>
      </c>
      <c r="D135" s="165" t="s">
        <v>810</v>
      </c>
      <c r="E135" s="166">
        <v>3</v>
      </c>
      <c r="F135" s="165">
        <v>100.79</v>
      </c>
      <c r="G135" s="23">
        <f t="shared" si="14"/>
        <v>129.84</v>
      </c>
      <c r="H135" s="32">
        <f t="shared" si="15"/>
        <v>302.37</v>
      </c>
      <c r="I135" s="232">
        <f t="shared" si="16"/>
        <v>389.52</v>
      </c>
      <c r="M135" s="5"/>
    </row>
    <row r="136" spans="1:13" ht="24" x14ac:dyDescent="0.2">
      <c r="A136" s="247" t="s">
        <v>827</v>
      </c>
      <c r="B136" s="172" t="s">
        <v>925</v>
      </c>
      <c r="C136" s="171" t="s">
        <v>832</v>
      </c>
      <c r="D136" s="165" t="s">
        <v>810</v>
      </c>
      <c r="E136" s="166">
        <v>4</v>
      </c>
      <c r="F136" s="165">
        <v>10.96</v>
      </c>
      <c r="G136" s="23">
        <f t="shared" si="14"/>
        <v>14.12</v>
      </c>
      <c r="H136" s="32">
        <f t="shared" si="15"/>
        <v>43.84</v>
      </c>
      <c r="I136" s="232">
        <f t="shared" si="16"/>
        <v>56.48</v>
      </c>
      <c r="M136" s="5"/>
    </row>
    <row r="137" spans="1:13" ht="24" x14ac:dyDescent="0.2">
      <c r="A137" s="247" t="s">
        <v>827</v>
      </c>
      <c r="B137" s="172" t="s">
        <v>926</v>
      </c>
      <c r="C137" s="171" t="s">
        <v>833</v>
      </c>
      <c r="D137" s="165" t="s">
        <v>810</v>
      </c>
      <c r="E137" s="166">
        <v>9</v>
      </c>
      <c r="F137" s="165">
        <v>10.96</v>
      </c>
      <c r="G137" s="23">
        <f t="shared" si="14"/>
        <v>14.12</v>
      </c>
      <c r="H137" s="32">
        <f t="shared" si="15"/>
        <v>98.64</v>
      </c>
      <c r="I137" s="232">
        <f t="shared" si="16"/>
        <v>127.08</v>
      </c>
      <c r="M137" s="5"/>
    </row>
    <row r="138" spans="1:13" ht="24" x14ac:dyDescent="0.2">
      <c r="A138" s="247" t="s">
        <v>834</v>
      </c>
      <c r="B138" s="172" t="s">
        <v>927</v>
      </c>
      <c r="C138" s="171" t="s">
        <v>835</v>
      </c>
      <c r="D138" s="165" t="s">
        <v>810</v>
      </c>
      <c r="E138" s="166">
        <v>10</v>
      </c>
      <c r="F138" s="165">
        <v>31.46</v>
      </c>
      <c r="G138" s="23">
        <f t="shared" si="14"/>
        <v>40.53</v>
      </c>
      <c r="H138" s="32">
        <f t="shared" si="15"/>
        <v>314.60000000000002</v>
      </c>
      <c r="I138" s="232">
        <f t="shared" si="16"/>
        <v>405.3</v>
      </c>
      <c r="M138" s="5"/>
    </row>
    <row r="139" spans="1:13" ht="24" x14ac:dyDescent="0.2">
      <c r="A139" s="247" t="s">
        <v>834</v>
      </c>
      <c r="B139" s="172" t="s">
        <v>928</v>
      </c>
      <c r="C139" s="171" t="s">
        <v>836</v>
      </c>
      <c r="D139" s="165" t="s">
        <v>810</v>
      </c>
      <c r="E139" s="166">
        <v>6</v>
      </c>
      <c r="F139" s="165">
        <v>31.46</v>
      </c>
      <c r="G139" s="23">
        <f t="shared" si="14"/>
        <v>40.53</v>
      </c>
      <c r="H139" s="32">
        <f t="shared" si="15"/>
        <v>188.76</v>
      </c>
      <c r="I139" s="232">
        <f t="shared" si="16"/>
        <v>243.18</v>
      </c>
      <c r="M139" s="5"/>
    </row>
    <row r="140" spans="1:13" ht="24" x14ac:dyDescent="0.2">
      <c r="A140" s="247" t="s">
        <v>834</v>
      </c>
      <c r="B140" s="172" t="s">
        <v>929</v>
      </c>
      <c r="C140" s="171" t="s">
        <v>837</v>
      </c>
      <c r="D140" s="165" t="s">
        <v>810</v>
      </c>
      <c r="E140" s="166">
        <v>15</v>
      </c>
      <c r="F140" s="165">
        <v>31.46</v>
      </c>
      <c r="G140" s="23">
        <f t="shared" si="14"/>
        <v>40.53</v>
      </c>
      <c r="H140" s="32">
        <f t="shared" si="15"/>
        <v>471.9</v>
      </c>
      <c r="I140" s="232">
        <f t="shared" si="16"/>
        <v>607.95000000000005</v>
      </c>
      <c r="M140" s="5"/>
    </row>
    <row r="141" spans="1:13" ht="24" x14ac:dyDescent="0.2">
      <c r="A141" s="247" t="s">
        <v>830</v>
      </c>
      <c r="B141" s="172" t="s">
        <v>930</v>
      </c>
      <c r="C141" s="171" t="s">
        <v>838</v>
      </c>
      <c r="D141" s="165" t="s">
        <v>810</v>
      </c>
      <c r="E141" s="166">
        <v>1</v>
      </c>
      <c r="F141" s="165">
        <v>100.79</v>
      </c>
      <c r="G141" s="23">
        <f t="shared" si="14"/>
        <v>129.84</v>
      </c>
      <c r="H141" s="32">
        <f t="shared" si="15"/>
        <v>100.79</v>
      </c>
      <c r="I141" s="232">
        <f t="shared" si="16"/>
        <v>129.84</v>
      </c>
      <c r="M141" s="5"/>
    </row>
    <row r="142" spans="1:13" ht="24" x14ac:dyDescent="0.2">
      <c r="A142" s="247" t="s">
        <v>830</v>
      </c>
      <c r="B142" s="172" t="s">
        <v>931</v>
      </c>
      <c r="C142" s="171" t="s">
        <v>839</v>
      </c>
      <c r="D142" s="165" t="s">
        <v>810</v>
      </c>
      <c r="E142" s="166">
        <v>2</v>
      </c>
      <c r="F142" s="165">
        <v>100.79</v>
      </c>
      <c r="G142" s="23">
        <f t="shared" si="14"/>
        <v>129.84</v>
      </c>
      <c r="H142" s="32">
        <f t="shared" si="15"/>
        <v>201.58</v>
      </c>
      <c r="I142" s="232">
        <f t="shared" si="16"/>
        <v>259.68</v>
      </c>
      <c r="M142" s="5"/>
    </row>
    <row r="143" spans="1:13" ht="60" x14ac:dyDescent="0.2">
      <c r="A143" s="247" t="s">
        <v>840</v>
      </c>
      <c r="B143" s="172" t="s">
        <v>932</v>
      </c>
      <c r="C143" s="171" t="s">
        <v>841</v>
      </c>
      <c r="D143" s="172" t="s">
        <v>803</v>
      </c>
      <c r="E143" s="166">
        <v>37</v>
      </c>
      <c r="F143" s="165">
        <v>78.53</v>
      </c>
      <c r="G143" s="23">
        <f t="shared" si="14"/>
        <v>101.16</v>
      </c>
      <c r="H143" s="32">
        <f t="shared" si="15"/>
        <v>2905.61</v>
      </c>
      <c r="I143" s="232">
        <f t="shared" si="16"/>
        <v>3742.92</v>
      </c>
      <c r="M143" s="5"/>
    </row>
    <row r="144" spans="1:13" ht="36" x14ac:dyDescent="0.2">
      <c r="A144" s="247" t="s">
        <v>842</v>
      </c>
      <c r="B144" s="172" t="s">
        <v>933</v>
      </c>
      <c r="C144" s="171" t="s">
        <v>843</v>
      </c>
      <c r="D144" s="165" t="s">
        <v>810</v>
      </c>
      <c r="E144" s="166">
        <v>9</v>
      </c>
      <c r="F144" s="165">
        <v>68.760000000000005</v>
      </c>
      <c r="G144" s="23">
        <f t="shared" si="14"/>
        <v>88.58</v>
      </c>
      <c r="H144" s="32">
        <f t="shared" si="15"/>
        <v>618.84</v>
      </c>
      <c r="I144" s="232">
        <f t="shared" si="16"/>
        <v>797.22</v>
      </c>
      <c r="M144" s="5"/>
    </row>
    <row r="145" spans="1:13" ht="60" x14ac:dyDescent="0.2">
      <c r="A145" s="247" t="s">
        <v>844</v>
      </c>
      <c r="B145" s="172" t="s">
        <v>934</v>
      </c>
      <c r="C145" s="171" t="s">
        <v>845</v>
      </c>
      <c r="D145" s="165" t="s">
        <v>810</v>
      </c>
      <c r="E145" s="166">
        <v>9</v>
      </c>
      <c r="F145" s="165">
        <v>39.299999999999997</v>
      </c>
      <c r="G145" s="23">
        <f t="shared" si="14"/>
        <v>50.63</v>
      </c>
      <c r="H145" s="32">
        <f t="shared" si="15"/>
        <v>353.7</v>
      </c>
      <c r="I145" s="232">
        <f t="shared" si="16"/>
        <v>455.67</v>
      </c>
      <c r="M145" s="5"/>
    </row>
    <row r="146" spans="1:13" ht="84" x14ac:dyDescent="0.2">
      <c r="A146" s="251" t="s">
        <v>846</v>
      </c>
      <c r="B146" s="172" t="s">
        <v>935</v>
      </c>
      <c r="C146" s="171" t="s">
        <v>847</v>
      </c>
      <c r="D146" s="165" t="s">
        <v>810</v>
      </c>
      <c r="E146" s="166">
        <v>1</v>
      </c>
      <c r="F146" s="165">
        <v>346</v>
      </c>
      <c r="G146" s="23">
        <f t="shared" si="14"/>
        <v>445.72</v>
      </c>
      <c r="H146" s="32">
        <f t="shared" si="15"/>
        <v>346</v>
      </c>
      <c r="I146" s="232">
        <f t="shared" si="16"/>
        <v>445.72</v>
      </c>
      <c r="M146" s="5"/>
    </row>
    <row r="147" spans="1:13" ht="36" x14ac:dyDescent="0.2">
      <c r="A147" s="247" t="s">
        <v>848</v>
      </c>
      <c r="B147" s="172" t="s">
        <v>936</v>
      </c>
      <c r="C147" s="171" t="s">
        <v>849</v>
      </c>
      <c r="D147" s="165" t="s">
        <v>810</v>
      </c>
      <c r="E147" s="166">
        <v>5</v>
      </c>
      <c r="F147" s="165">
        <v>30.36</v>
      </c>
      <c r="G147" s="23">
        <f t="shared" si="14"/>
        <v>39.11</v>
      </c>
      <c r="H147" s="32">
        <f t="shared" si="15"/>
        <v>151.80000000000001</v>
      </c>
      <c r="I147" s="232">
        <f t="shared" si="16"/>
        <v>195.55</v>
      </c>
      <c r="M147" s="5"/>
    </row>
    <row r="148" spans="1:13" ht="36" x14ac:dyDescent="0.2">
      <c r="A148" s="247" t="s">
        <v>850</v>
      </c>
      <c r="B148" s="172" t="s">
        <v>937</v>
      </c>
      <c r="C148" s="171" t="s">
        <v>851</v>
      </c>
      <c r="D148" s="165" t="s">
        <v>803</v>
      </c>
      <c r="E148" s="166">
        <v>350</v>
      </c>
      <c r="F148" s="165">
        <v>10.7</v>
      </c>
      <c r="G148" s="23">
        <f t="shared" si="14"/>
        <v>13.78</v>
      </c>
      <c r="H148" s="32">
        <f t="shared" si="15"/>
        <v>3745</v>
      </c>
      <c r="I148" s="232">
        <f t="shared" si="16"/>
        <v>4823</v>
      </c>
      <c r="M148" s="5"/>
    </row>
    <row r="149" spans="1:13" ht="24" x14ac:dyDescent="0.2">
      <c r="A149" s="247" t="s">
        <v>852</v>
      </c>
      <c r="B149" s="172" t="s">
        <v>938</v>
      </c>
      <c r="C149" s="171" t="s">
        <v>853</v>
      </c>
      <c r="D149" s="165" t="s">
        <v>854</v>
      </c>
      <c r="E149" s="166">
        <v>220</v>
      </c>
      <c r="F149" s="165">
        <v>18.77</v>
      </c>
      <c r="G149" s="23">
        <f t="shared" si="14"/>
        <v>24.18</v>
      </c>
      <c r="H149" s="32">
        <f t="shared" si="15"/>
        <v>4129.3999999999996</v>
      </c>
      <c r="I149" s="232">
        <f t="shared" si="16"/>
        <v>5319.6</v>
      </c>
      <c r="M149" s="5"/>
    </row>
    <row r="150" spans="1:13" ht="24" x14ac:dyDescent="0.2">
      <c r="A150" s="247" t="s">
        <v>855</v>
      </c>
      <c r="B150" s="172" t="s">
        <v>939</v>
      </c>
      <c r="C150" s="171" t="s">
        <v>856</v>
      </c>
      <c r="D150" s="165" t="s">
        <v>854</v>
      </c>
      <c r="E150" s="166">
        <v>220</v>
      </c>
      <c r="F150" s="165">
        <v>13.6</v>
      </c>
      <c r="G150" s="23">
        <f t="shared" si="14"/>
        <v>17.52</v>
      </c>
      <c r="H150" s="32">
        <f t="shared" si="15"/>
        <v>2992</v>
      </c>
      <c r="I150" s="232">
        <f t="shared" si="16"/>
        <v>3854.4</v>
      </c>
      <c r="M150" s="5"/>
    </row>
    <row r="151" spans="1:13" ht="24" x14ac:dyDescent="0.2">
      <c r="A151" s="247"/>
      <c r="B151" s="172" t="s">
        <v>940</v>
      </c>
      <c r="C151" s="171" t="s">
        <v>857</v>
      </c>
      <c r="D151" s="165" t="s">
        <v>810</v>
      </c>
      <c r="E151" s="166">
        <v>1</v>
      </c>
      <c r="F151" s="165">
        <v>4859.8599999999997</v>
      </c>
      <c r="G151" s="23">
        <f t="shared" si="14"/>
        <v>6260.47</v>
      </c>
      <c r="H151" s="32">
        <f t="shared" si="15"/>
        <v>4859.8599999999997</v>
      </c>
      <c r="I151" s="232">
        <f t="shared" si="16"/>
        <v>6260.47</v>
      </c>
      <c r="M151" s="5"/>
    </row>
    <row r="152" spans="1:13" ht="48" x14ac:dyDescent="0.2">
      <c r="A152" s="247" t="s">
        <v>858</v>
      </c>
      <c r="B152" s="172" t="s">
        <v>941</v>
      </c>
      <c r="C152" s="171" t="s">
        <v>859</v>
      </c>
      <c r="D152" s="172" t="s">
        <v>860</v>
      </c>
      <c r="E152" s="166">
        <v>3.2</v>
      </c>
      <c r="F152" s="165">
        <v>47.62</v>
      </c>
      <c r="G152" s="23">
        <f t="shared" si="14"/>
        <v>61.34</v>
      </c>
      <c r="H152" s="32">
        <f t="shared" si="15"/>
        <v>152.38</v>
      </c>
      <c r="I152" s="232">
        <f t="shared" si="16"/>
        <v>196.29</v>
      </c>
      <c r="M152" s="5"/>
    </row>
    <row r="153" spans="1:13" ht="24" x14ac:dyDescent="0.2">
      <c r="A153" s="247"/>
      <c r="B153" s="172" t="s">
        <v>942</v>
      </c>
      <c r="C153" s="171" t="s">
        <v>861</v>
      </c>
      <c r="D153" s="165" t="s">
        <v>810</v>
      </c>
      <c r="E153" s="165">
        <v>1</v>
      </c>
      <c r="F153" s="165">
        <v>4859.8599999999997</v>
      </c>
      <c r="G153" s="23">
        <f t="shared" ref="G153:G182" si="17">ROUND($F153*$D$235,2)</f>
        <v>6260.47</v>
      </c>
      <c r="H153" s="32">
        <f t="shared" si="15"/>
        <v>4859.8599999999997</v>
      </c>
      <c r="I153" s="232">
        <f t="shared" si="16"/>
        <v>6260.47</v>
      </c>
      <c r="M153" s="5"/>
    </row>
    <row r="154" spans="1:13" ht="24" x14ac:dyDescent="0.2">
      <c r="A154" s="247" t="s">
        <v>862</v>
      </c>
      <c r="B154" s="172" t="s">
        <v>943</v>
      </c>
      <c r="C154" s="171" t="s">
        <v>863</v>
      </c>
      <c r="D154" s="165" t="s">
        <v>810</v>
      </c>
      <c r="E154" s="166">
        <v>1</v>
      </c>
      <c r="F154" s="165">
        <v>259.32</v>
      </c>
      <c r="G154" s="23">
        <f t="shared" si="17"/>
        <v>334.06</v>
      </c>
      <c r="H154" s="32">
        <f t="shared" si="15"/>
        <v>259.32</v>
      </c>
      <c r="I154" s="232">
        <f t="shared" si="16"/>
        <v>334.06</v>
      </c>
      <c r="M154" s="5"/>
    </row>
    <row r="155" spans="1:13" ht="84" x14ac:dyDescent="0.2">
      <c r="A155" s="250" t="s">
        <v>864</v>
      </c>
      <c r="B155" s="332" t="s">
        <v>944</v>
      </c>
      <c r="C155" s="219" t="s">
        <v>865</v>
      </c>
      <c r="D155" s="333" t="s">
        <v>810</v>
      </c>
      <c r="E155" s="220">
        <v>1</v>
      </c>
      <c r="F155" s="333">
        <v>114.53</v>
      </c>
      <c r="G155" s="25">
        <f t="shared" si="17"/>
        <v>147.54</v>
      </c>
      <c r="H155" s="56">
        <f t="shared" si="15"/>
        <v>114.53</v>
      </c>
      <c r="I155" s="334">
        <f t="shared" si="16"/>
        <v>147.54</v>
      </c>
      <c r="M155" s="5"/>
    </row>
    <row r="156" spans="1:13" ht="60" x14ac:dyDescent="0.2">
      <c r="A156" s="247" t="s">
        <v>866</v>
      </c>
      <c r="B156" s="172" t="s">
        <v>945</v>
      </c>
      <c r="C156" s="171" t="s">
        <v>867</v>
      </c>
      <c r="D156" s="165" t="s">
        <v>810</v>
      </c>
      <c r="E156" s="166">
        <v>1</v>
      </c>
      <c r="F156" s="165">
        <v>271.52999999999997</v>
      </c>
      <c r="G156" s="23">
        <f t="shared" si="17"/>
        <v>349.78</v>
      </c>
      <c r="H156" s="32">
        <f t="shared" si="15"/>
        <v>271.52999999999997</v>
      </c>
      <c r="I156" s="232">
        <f t="shared" si="16"/>
        <v>349.78</v>
      </c>
      <c r="M156" s="5"/>
    </row>
    <row r="157" spans="1:13" ht="48" x14ac:dyDescent="0.2">
      <c r="A157" s="247"/>
      <c r="B157" s="172" t="s">
        <v>946</v>
      </c>
      <c r="C157" s="157" t="s">
        <v>868</v>
      </c>
      <c r="D157" s="165" t="s">
        <v>810</v>
      </c>
      <c r="E157" s="166">
        <v>1</v>
      </c>
      <c r="F157" s="165">
        <v>647.87</v>
      </c>
      <c r="G157" s="23">
        <f t="shared" si="17"/>
        <v>834.59</v>
      </c>
      <c r="H157" s="32">
        <f t="shared" si="15"/>
        <v>647.87</v>
      </c>
      <c r="I157" s="232">
        <f t="shared" si="16"/>
        <v>834.59</v>
      </c>
      <c r="M157" s="5"/>
    </row>
    <row r="158" spans="1:13" ht="36" x14ac:dyDescent="0.2">
      <c r="A158" s="247" t="s">
        <v>869</v>
      </c>
      <c r="B158" s="172" t="s">
        <v>947</v>
      </c>
      <c r="C158" s="171" t="s">
        <v>870</v>
      </c>
      <c r="D158" s="165" t="s">
        <v>803</v>
      </c>
      <c r="E158" s="166">
        <v>72</v>
      </c>
      <c r="F158" s="165">
        <v>10.220000000000001</v>
      </c>
      <c r="G158" s="23">
        <f t="shared" si="17"/>
        <v>13.17</v>
      </c>
      <c r="H158" s="32">
        <f t="shared" si="15"/>
        <v>735.84</v>
      </c>
      <c r="I158" s="232">
        <f t="shared" si="16"/>
        <v>948.24</v>
      </c>
      <c r="M158" s="5"/>
    </row>
    <row r="159" spans="1:13" ht="24" x14ac:dyDescent="0.2">
      <c r="A159" s="247">
        <v>91940</v>
      </c>
      <c r="B159" s="172" t="s">
        <v>948</v>
      </c>
      <c r="C159" s="171" t="s">
        <v>871</v>
      </c>
      <c r="D159" s="165" t="s">
        <v>810</v>
      </c>
      <c r="E159" s="166">
        <v>160</v>
      </c>
      <c r="F159" s="165">
        <v>13.41</v>
      </c>
      <c r="G159" s="23">
        <f t="shared" si="17"/>
        <v>17.27</v>
      </c>
      <c r="H159" s="32">
        <f t="shared" si="15"/>
        <v>2145.6</v>
      </c>
      <c r="I159" s="232">
        <f t="shared" si="16"/>
        <v>2763.2</v>
      </c>
      <c r="M159" s="5"/>
    </row>
    <row r="160" spans="1:13" ht="36" x14ac:dyDescent="0.2">
      <c r="A160" s="247" t="s">
        <v>872</v>
      </c>
      <c r="B160" s="172" t="s">
        <v>949</v>
      </c>
      <c r="C160" s="171" t="s">
        <v>873</v>
      </c>
      <c r="D160" s="172" t="s">
        <v>803</v>
      </c>
      <c r="E160" s="166">
        <v>400</v>
      </c>
      <c r="F160" s="165">
        <v>5.26</v>
      </c>
      <c r="G160" s="23">
        <f t="shared" si="17"/>
        <v>6.78</v>
      </c>
      <c r="H160" s="32">
        <f t="shared" si="15"/>
        <v>2104</v>
      </c>
      <c r="I160" s="232">
        <f t="shared" si="16"/>
        <v>2712</v>
      </c>
      <c r="M160" s="5"/>
    </row>
    <row r="161" spans="1:13" ht="48" x14ac:dyDescent="0.2">
      <c r="A161" s="247" t="s">
        <v>874</v>
      </c>
      <c r="B161" s="172" t="s">
        <v>950</v>
      </c>
      <c r="C161" s="171" t="s">
        <v>875</v>
      </c>
      <c r="D161" s="172" t="s">
        <v>803</v>
      </c>
      <c r="E161" s="166">
        <v>5500</v>
      </c>
      <c r="F161" s="165">
        <v>2.46</v>
      </c>
      <c r="G161" s="23">
        <f t="shared" si="17"/>
        <v>3.17</v>
      </c>
      <c r="H161" s="32">
        <f t="shared" si="15"/>
        <v>13530</v>
      </c>
      <c r="I161" s="232">
        <f t="shared" si="16"/>
        <v>17435</v>
      </c>
      <c r="M161" s="5"/>
    </row>
    <row r="162" spans="1:13" ht="48" x14ac:dyDescent="0.2">
      <c r="A162" s="247" t="s">
        <v>876</v>
      </c>
      <c r="B162" s="172" t="s">
        <v>951</v>
      </c>
      <c r="C162" s="171" t="s">
        <v>877</v>
      </c>
      <c r="D162" s="172" t="s">
        <v>803</v>
      </c>
      <c r="E162" s="166">
        <v>4500</v>
      </c>
      <c r="F162" s="165">
        <v>3.38</v>
      </c>
      <c r="G162" s="23">
        <f t="shared" si="17"/>
        <v>4.3499999999999996</v>
      </c>
      <c r="H162" s="32">
        <f t="shared" si="15"/>
        <v>15210</v>
      </c>
      <c r="I162" s="232">
        <f t="shared" si="16"/>
        <v>19575</v>
      </c>
      <c r="M162" s="5"/>
    </row>
    <row r="163" spans="1:13" ht="72" x14ac:dyDescent="0.2">
      <c r="A163" s="247" t="s">
        <v>878</v>
      </c>
      <c r="B163" s="172" t="s">
        <v>952</v>
      </c>
      <c r="C163" s="171" t="s">
        <v>879</v>
      </c>
      <c r="D163" s="165" t="s">
        <v>810</v>
      </c>
      <c r="E163" s="166">
        <v>1</v>
      </c>
      <c r="F163" s="165">
        <v>794.24</v>
      </c>
      <c r="G163" s="23">
        <f t="shared" si="17"/>
        <v>1023.14</v>
      </c>
      <c r="H163" s="32">
        <f t="shared" si="15"/>
        <v>794.24</v>
      </c>
      <c r="I163" s="232">
        <f t="shared" si="16"/>
        <v>1023.14</v>
      </c>
      <c r="M163" s="5"/>
    </row>
    <row r="164" spans="1:13" ht="60" x14ac:dyDescent="0.2">
      <c r="A164" s="247" t="s">
        <v>840</v>
      </c>
      <c r="B164" s="172" t="s">
        <v>953</v>
      </c>
      <c r="C164" s="171" t="s">
        <v>880</v>
      </c>
      <c r="D164" s="172" t="s">
        <v>803</v>
      </c>
      <c r="E164" s="166">
        <v>356</v>
      </c>
      <c r="F164" s="165">
        <v>78.53</v>
      </c>
      <c r="G164" s="23">
        <f t="shared" si="17"/>
        <v>101.16</v>
      </c>
      <c r="H164" s="32">
        <f t="shared" si="15"/>
        <v>27956.68</v>
      </c>
      <c r="I164" s="232">
        <f t="shared" si="16"/>
        <v>36012.959999999999</v>
      </c>
      <c r="M164" s="5"/>
    </row>
    <row r="165" spans="1:13" ht="60" x14ac:dyDescent="0.2">
      <c r="A165" s="247" t="s">
        <v>840</v>
      </c>
      <c r="B165" s="172" t="s">
        <v>954</v>
      </c>
      <c r="C165" s="171" t="s">
        <v>881</v>
      </c>
      <c r="D165" s="172" t="s">
        <v>803</v>
      </c>
      <c r="E165" s="166">
        <v>110</v>
      </c>
      <c r="F165" s="165">
        <v>78.53</v>
      </c>
      <c r="G165" s="23">
        <f t="shared" si="17"/>
        <v>101.16</v>
      </c>
      <c r="H165" s="32">
        <f t="shared" si="15"/>
        <v>8638.2999999999993</v>
      </c>
      <c r="I165" s="232">
        <f t="shared" si="16"/>
        <v>11127.6</v>
      </c>
      <c r="M165" s="5"/>
    </row>
    <row r="166" spans="1:13" ht="60" x14ac:dyDescent="0.2">
      <c r="A166" s="247" t="s">
        <v>882</v>
      </c>
      <c r="B166" s="172" t="s">
        <v>955</v>
      </c>
      <c r="C166" s="171" t="s">
        <v>883</v>
      </c>
      <c r="D166" s="172" t="s">
        <v>803</v>
      </c>
      <c r="E166" s="166">
        <v>110</v>
      </c>
      <c r="F166" s="165">
        <v>51.93</v>
      </c>
      <c r="G166" s="23">
        <f t="shared" si="17"/>
        <v>66.900000000000006</v>
      </c>
      <c r="H166" s="32">
        <f t="shared" si="15"/>
        <v>5712.3</v>
      </c>
      <c r="I166" s="232">
        <f t="shared" si="16"/>
        <v>7359</v>
      </c>
      <c r="M166" s="5"/>
    </row>
    <row r="167" spans="1:13" ht="60" x14ac:dyDescent="0.2">
      <c r="A167" s="247" t="s">
        <v>884</v>
      </c>
      <c r="B167" s="172" t="s">
        <v>956</v>
      </c>
      <c r="C167" s="171" t="s">
        <v>885</v>
      </c>
      <c r="D167" s="172" t="s">
        <v>803</v>
      </c>
      <c r="E167" s="166">
        <v>180</v>
      </c>
      <c r="F167" s="165">
        <v>17.27</v>
      </c>
      <c r="G167" s="23">
        <f t="shared" si="17"/>
        <v>22.25</v>
      </c>
      <c r="H167" s="32">
        <f t="shared" si="15"/>
        <v>3108.6</v>
      </c>
      <c r="I167" s="232">
        <f t="shared" si="16"/>
        <v>4005</v>
      </c>
      <c r="M167" s="5"/>
    </row>
    <row r="168" spans="1:13" ht="60" x14ac:dyDescent="0.2">
      <c r="A168" s="247" t="s">
        <v>884</v>
      </c>
      <c r="B168" s="172" t="s">
        <v>957</v>
      </c>
      <c r="C168" s="171" t="s">
        <v>886</v>
      </c>
      <c r="D168" s="172" t="s">
        <v>803</v>
      </c>
      <c r="E168" s="166">
        <v>60</v>
      </c>
      <c r="F168" s="165">
        <v>17.27</v>
      </c>
      <c r="G168" s="23">
        <f t="shared" si="17"/>
        <v>22.25</v>
      </c>
      <c r="H168" s="32">
        <f t="shared" si="15"/>
        <v>1036.2</v>
      </c>
      <c r="I168" s="232">
        <f t="shared" si="16"/>
        <v>1335</v>
      </c>
      <c r="M168" s="5"/>
    </row>
    <row r="169" spans="1:13" ht="60" x14ac:dyDescent="0.2">
      <c r="A169" s="247" t="s">
        <v>887</v>
      </c>
      <c r="B169" s="172" t="s">
        <v>958</v>
      </c>
      <c r="C169" s="171" t="s">
        <v>888</v>
      </c>
      <c r="D169" s="172" t="s">
        <v>803</v>
      </c>
      <c r="E169" s="166">
        <v>120</v>
      </c>
      <c r="F169" s="165">
        <v>8.49</v>
      </c>
      <c r="G169" s="23">
        <f t="shared" si="17"/>
        <v>10.94</v>
      </c>
      <c r="H169" s="32">
        <f t="shared" si="15"/>
        <v>1018.8</v>
      </c>
      <c r="I169" s="232">
        <f t="shared" si="16"/>
        <v>1312.8</v>
      </c>
      <c r="M169" s="5"/>
    </row>
    <row r="170" spans="1:13" ht="60" x14ac:dyDescent="0.2">
      <c r="A170" s="250" t="s">
        <v>887</v>
      </c>
      <c r="B170" s="332" t="s">
        <v>959</v>
      </c>
      <c r="C170" s="219" t="s">
        <v>889</v>
      </c>
      <c r="D170" s="332" t="s">
        <v>803</v>
      </c>
      <c r="E170" s="220">
        <v>240</v>
      </c>
      <c r="F170" s="333">
        <v>8.49</v>
      </c>
      <c r="G170" s="25">
        <f t="shared" si="17"/>
        <v>10.94</v>
      </c>
      <c r="H170" s="56">
        <f t="shared" si="15"/>
        <v>2037.6</v>
      </c>
      <c r="I170" s="334">
        <f t="shared" si="16"/>
        <v>2625.6</v>
      </c>
      <c r="M170" s="5"/>
    </row>
    <row r="171" spans="1:13" ht="60" x14ac:dyDescent="0.2">
      <c r="A171" s="247" t="s">
        <v>887</v>
      </c>
      <c r="B171" s="172" t="s">
        <v>960</v>
      </c>
      <c r="C171" s="171" t="s">
        <v>890</v>
      </c>
      <c r="D171" s="172" t="s">
        <v>803</v>
      </c>
      <c r="E171" s="166">
        <v>120</v>
      </c>
      <c r="F171" s="165">
        <v>8.49</v>
      </c>
      <c r="G171" s="23">
        <f t="shared" si="17"/>
        <v>10.94</v>
      </c>
      <c r="H171" s="32">
        <f t="shared" si="15"/>
        <v>1018.8</v>
      </c>
      <c r="I171" s="232">
        <f t="shared" si="16"/>
        <v>1312.8</v>
      </c>
      <c r="M171" s="5"/>
    </row>
    <row r="172" spans="1:13" ht="60" x14ac:dyDescent="0.2">
      <c r="A172" s="247" t="s">
        <v>891</v>
      </c>
      <c r="B172" s="172" t="s">
        <v>961</v>
      </c>
      <c r="C172" s="171" t="s">
        <v>892</v>
      </c>
      <c r="D172" s="172" t="s">
        <v>803</v>
      </c>
      <c r="E172" s="166">
        <v>186</v>
      </c>
      <c r="F172" s="165">
        <v>11.94</v>
      </c>
      <c r="G172" s="23">
        <f t="shared" si="17"/>
        <v>15.38</v>
      </c>
      <c r="H172" s="32">
        <f t="shared" si="15"/>
        <v>2220.84</v>
      </c>
      <c r="I172" s="232">
        <f t="shared" si="16"/>
        <v>2860.68</v>
      </c>
      <c r="M172" s="5"/>
    </row>
    <row r="173" spans="1:13" ht="60" x14ac:dyDescent="0.2">
      <c r="A173" s="247" t="s">
        <v>891</v>
      </c>
      <c r="B173" s="172" t="s">
        <v>962</v>
      </c>
      <c r="C173" s="171" t="s">
        <v>893</v>
      </c>
      <c r="D173" s="172" t="s">
        <v>803</v>
      </c>
      <c r="E173" s="166">
        <v>62</v>
      </c>
      <c r="F173" s="165">
        <v>11.94</v>
      </c>
      <c r="G173" s="23">
        <f t="shared" si="17"/>
        <v>15.38</v>
      </c>
      <c r="H173" s="32">
        <f t="shared" si="15"/>
        <v>740.28</v>
      </c>
      <c r="I173" s="232">
        <f t="shared" si="16"/>
        <v>953.56</v>
      </c>
      <c r="M173" s="5"/>
    </row>
    <row r="174" spans="1:13" ht="60" x14ac:dyDescent="0.2">
      <c r="A174" s="247" t="s">
        <v>891</v>
      </c>
      <c r="B174" s="172" t="s">
        <v>963</v>
      </c>
      <c r="C174" s="171" t="s">
        <v>894</v>
      </c>
      <c r="D174" s="172" t="s">
        <v>803</v>
      </c>
      <c r="E174" s="166">
        <v>150</v>
      </c>
      <c r="F174" s="165">
        <v>11.94</v>
      </c>
      <c r="G174" s="23">
        <f t="shared" si="17"/>
        <v>15.38</v>
      </c>
      <c r="H174" s="32">
        <f t="shared" si="15"/>
        <v>1791</v>
      </c>
      <c r="I174" s="232">
        <f t="shared" si="16"/>
        <v>2307</v>
      </c>
      <c r="M174" s="5"/>
    </row>
    <row r="175" spans="1:13" ht="24" x14ac:dyDescent="0.2">
      <c r="A175" s="247" t="s">
        <v>895</v>
      </c>
      <c r="B175" s="172" t="s">
        <v>964</v>
      </c>
      <c r="C175" s="171" t="s">
        <v>896</v>
      </c>
      <c r="D175" s="172" t="s">
        <v>810</v>
      </c>
      <c r="E175" s="166">
        <v>1</v>
      </c>
      <c r="F175" s="165">
        <v>799.96</v>
      </c>
      <c r="G175" s="23">
        <f t="shared" si="17"/>
        <v>1030.51</v>
      </c>
      <c r="H175" s="32">
        <f t="shared" si="15"/>
        <v>799.96</v>
      </c>
      <c r="I175" s="232">
        <f t="shared" si="16"/>
        <v>1030.51</v>
      </c>
      <c r="M175" s="5"/>
    </row>
    <row r="176" spans="1:13" ht="48" x14ac:dyDescent="0.2">
      <c r="A176" s="247" t="s">
        <v>897</v>
      </c>
      <c r="B176" s="172" t="s">
        <v>965</v>
      </c>
      <c r="C176" s="171" t="s">
        <v>898</v>
      </c>
      <c r="D176" s="172" t="s">
        <v>803</v>
      </c>
      <c r="E176" s="166">
        <v>20</v>
      </c>
      <c r="F176" s="165">
        <v>25.8</v>
      </c>
      <c r="G176" s="23">
        <f t="shared" si="17"/>
        <v>33.24</v>
      </c>
      <c r="H176" s="32">
        <f t="shared" si="15"/>
        <v>516</v>
      </c>
      <c r="I176" s="232">
        <f t="shared" si="16"/>
        <v>664.8</v>
      </c>
      <c r="M176" s="5"/>
    </row>
    <row r="177" spans="1:13" ht="36" x14ac:dyDescent="0.2">
      <c r="A177" s="247"/>
      <c r="B177" s="172" t="s">
        <v>966</v>
      </c>
      <c r="C177" s="171" t="s">
        <v>899</v>
      </c>
      <c r="D177" s="172" t="s">
        <v>810</v>
      </c>
      <c r="E177" s="166">
        <v>1</v>
      </c>
      <c r="F177" s="165">
        <v>5379.16</v>
      </c>
      <c r="G177" s="23">
        <f t="shared" si="17"/>
        <v>6929.43</v>
      </c>
      <c r="H177" s="32">
        <f t="shared" si="15"/>
        <v>5379.16</v>
      </c>
      <c r="I177" s="232">
        <f t="shared" si="16"/>
        <v>6929.43</v>
      </c>
      <c r="M177" s="5"/>
    </row>
    <row r="178" spans="1:13" ht="48" x14ac:dyDescent="0.2">
      <c r="A178" s="247" t="s">
        <v>900</v>
      </c>
      <c r="B178" s="172" t="s">
        <v>967</v>
      </c>
      <c r="C178" s="171" t="s">
        <v>901</v>
      </c>
      <c r="D178" s="172" t="s">
        <v>803</v>
      </c>
      <c r="E178" s="166">
        <v>12</v>
      </c>
      <c r="F178" s="165">
        <v>9.6</v>
      </c>
      <c r="G178" s="23">
        <f t="shared" si="17"/>
        <v>12.37</v>
      </c>
      <c r="H178" s="32">
        <f t="shared" si="15"/>
        <v>115.2</v>
      </c>
      <c r="I178" s="232">
        <f t="shared" si="16"/>
        <v>148.44</v>
      </c>
      <c r="M178" s="5"/>
    </row>
    <row r="179" spans="1:13" ht="48" x14ac:dyDescent="0.2">
      <c r="A179" s="247" t="s">
        <v>902</v>
      </c>
      <c r="B179" s="172" t="s">
        <v>968</v>
      </c>
      <c r="C179" s="171" t="s">
        <v>903</v>
      </c>
      <c r="D179" s="172" t="s">
        <v>803</v>
      </c>
      <c r="E179" s="166">
        <v>6</v>
      </c>
      <c r="F179" s="165">
        <v>12.66</v>
      </c>
      <c r="G179" s="23">
        <f t="shared" si="17"/>
        <v>16.309999999999999</v>
      </c>
      <c r="H179" s="32">
        <f t="shared" si="15"/>
        <v>75.959999999999994</v>
      </c>
      <c r="I179" s="232">
        <f t="shared" si="16"/>
        <v>97.86</v>
      </c>
      <c r="M179" s="5"/>
    </row>
    <row r="180" spans="1:13" ht="60" x14ac:dyDescent="0.2">
      <c r="A180" s="247" t="s">
        <v>904</v>
      </c>
      <c r="B180" s="172" t="s">
        <v>969</v>
      </c>
      <c r="C180" s="171" t="s">
        <v>905</v>
      </c>
      <c r="D180" s="172" t="s">
        <v>810</v>
      </c>
      <c r="E180" s="166">
        <v>6</v>
      </c>
      <c r="F180" s="165">
        <v>7.1</v>
      </c>
      <c r="G180" s="23">
        <f t="shared" si="17"/>
        <v>9.15</v>
      </c>
      <c r="H180" s="32">
        <f t="shared" si="15"/>
        <v>42.6</v>
      </c>
      <c r="I180" s="232">
        <f t="shared" si="16"/>
        <v>54.9</v>
      </c>
      <c r="M180" s="5"/>
    </row>
    <row r="181" spans="1:13" ht="60" x14ac:dyDescent="0.2">
      <c r="A181" s="247" t="s">
        <v>906</v>
      </c>
      <c r="B181" s="172" t="s">
        <v>970</v>
      </c>
      <c r="C181" s="171" t="s">
        <v>907</v>
      </c>
      <c r="D181" s="172" t="s">
        <v>803</v>
      </c>
      <c r="E181" s="166">
        <v>36</v>
      </c>
      <c r="F181" s="165">
        <v>28.71</v>
      </c>
      <c r="G181" s="23">
        <f t="shared" si="17"/>
        <v>36.979999999999997</v>
      </c>
      <c r="H181" s="32">
        <f t="shared" si="15"/>
        <v>1033.56</v>
      </c>
      <c r="I181" s="232">
        <f t="shared" si="16"/>
        <v>1331.28</v>
      </c>
      <c r="M181" s="5"/>
    </row>
    <row r="182" spans="1:13" ht="60" x14ac:dyDescent="0.2">
      <c r="A182" s="248" t="s">
        <v>906</v>
      </c>
      <c r="B182" s="172" t="s">
        <v>971</v>
      </c>
      <c r="C182" s="173" t="s">
        <v>908</v>
      </c>
      <c r="D182" s="172" t="s">
        <v>803</v>
      </c>
      <c r="E182" s="165">
        <v>12</v>
      </c>
      <c r="F182" s="165">
        <v>28.71</v>
      </c>
      <c r="G182" s="197">
        <f t="shared" si="17"/>
        <v>36.979999999999997</v>
      </c>
      <c r="H182" s="198">
        <f t="shared" si="15"/>
        <v>344.52</v>
      </c>
      <c r="I182" s="252">
        <f t="shared" si="16"/>
        <v>443.76</v>
      </c>
      <c r="M182" s="5"/>
    </row>
    <row r="183" spans="1:13" x14ac:dyDescent="0.2">
      <c r="A183" s="248"/>
      <c r="B183" s="170"/>
      <c r="C183" s="173"/>
      <c r="D183" s="172"/>
      <c r="E183" s="165"/>
      <c r="F183" s="165"/>
      <c r="G183" s="197"/>
      <c r="H183" s="198"/>
      <c r="I183" s="252"/>
      <c r="M183" s="5"/>
    </row>
    <row r="184" spans="1:13" x14ac:dyDescent="0.2">
      <c r="A184" s="253"/>
      <c r="B184" s="199" t="s">
        <v>377</v>
      </c>
      <c r="C184" s="200" t="s">
        <v>972</v>
      </c>
      <c r="D184" s="172"/>
      <c r="E184" s="165"/>
      <c r="F184" s="165"/>
      <c r="G184" s="197"/>
      <c r="H184" s="208">
        <f>SUM(H185:H192)</f>
        <v>34247.800000000003</v>
      </c>
      <c r="I184" s="254">
        <f>SUM(I185:I192)</f>
        <v>44113.040000000008</v>
      </c>
      <c r="M184" s="5"/>
    </row>
    <row r="185" spans="1:13" ht="36" x14ac:dyDescent="0.2">
      <c r="A185" s="248">
        <v>98297</v>
      </c>
      <c r="B185" s="172" t="s">
        <v>988</v>
      </c>
      <c r="C185" s="173" t="s">
        <v>973</v>
      </c>
      <c r="D185" s="172" t="s">
        <v>803</v>
      </c>
      <c r="E185" s="165">
        <v>6100</v>
      </c>
      <c r="F185" s="165">
        <v>1.46</v>
      </c>
      <c r="G185" s="197">
        <f t="shared" ref="G185:G192" si="18">ROUND($F185*$D$235,2)</f>
        <v>1.88</v>
      </c>
      <c r="H185" s="198">
        <f t="shared" si="15"/>
        <v>8906</v>
      </c>
      <c r="I185" s="252">
        <f t="shared" si="16"/>
        <v>11468</v>
      </c>
      <c r="M185" s="5"/>
    </row>
    <row r="186" spans="1:13" ht="24" x14ac:dyDescent="0.2">
      <c r="A186" s="248" t="s">
        <v>974</v>
      </c>
      <c r="B186" s="172" t="s">
        <v>989</v>
      </c>
      <c r="C186" s="173" t="s">
        <v>975</v>
      </c>
      <c r="D186" s="165" t="s">
        <v>810</v>
      </c>
      <c r="E186" s="165">
        <v>88</v>
      </c>
      <c r="F186" s="165">
        <v>5.97</v>
      </c>
      <c r="G186" s="197">
        <f t="shared" si="18"/>
        <v>7.69</v>
      </c>
      <c r="H186" s="198">
        <f t="shared" si="15"/>
        <v>525.36</v>
      </c>
      <c r="I186" s="252">
        <f t="shared" si="16"/>
        <v>676.72</v>
      </c>
      <c r="M186" s="5"/>
    </row>
    <row r="187" spans="1:13" ht="24" x14ac:dyDescent="0.2">
      <c r="A187" s="248" t="s">
        <v>976</v>
      </c>
      <c r="B187" s="172" t="s">
        <v>990</v>
      </c>
      <c r="C187" s="173" t="s">
        <v>977</v>
      </c>
      <c r="D187" s="165" t="s">
        <v>810</v>
      </c>
      <c r="E187" s="168">
        <v>88</v>
      </c>
      <c r="F187" s="165">
        <v>1.54</v>
      </c>
      <c r="G187" s="197">
        <f t="shared" si="18"/>
        <v>1.98</v>
      </c>
      <c r="H187" s="198">
        <f t="shared" ref="H187:H192" si="19">ROUND($E187*$F187,2)</f>
        <v>135.52000000000001</v>
      </c>
      <c r="I187" s="252">
        <f t="shared" ref="I187:I192" si="20">ROUND($E187*$G187,2)</f>
        <v>174.24</v>
      </c>
      <c r="M187" s="5"/>
    </row>
    <row r="188" spans="1:13" ht="36" x14ac:dyDescent="0.2">
      <c r="A188" s="248" t="s">
        <v>978</v>
      </c>
      <c r="B188" s="172" t="s">
        <v>991</v>
      </c>
      <c r="C188" s="173" t="s">
        <v>979</v>
      </c>
      <c r="D188" s="172" t="s">
        <v>803</v>
      </c>
      <c r="E188" s="165">
        <v>300</v>
      </c>
      <c r="F188" s="165">
        <v>4.58</v>
      </c>
      <c r="G188" s="197">
        <f t="shared" si="18"/>
        <v>5.9</v>
      </c>
      <c r="H188" s="198">
        <f t="shared" si="19"/>
        <v>1374</v>
      </c>
      <c r="I188" s="252">
        <f t="shared" si="20"/>
        <v>1770</v>
      </c>
      <c r="M188" s="5"/>
    </row>
    <row r="189" spans="1:13" ht="48" x14ac:dyDescent="0.2">
      <c r="A189" s="335" t="s">
        <v>980</v>
      </c>
      <c r="B189" s="332" t="s">
        <v>992</v>
      </c>
      <c r="C189" s="336" t="s">
        <v>981</v>
      </c>
      <c r="D189" s="332" t="s">
        <v>803</v>
      </c>
      <c r="E189" s="333">
        <v>160</v>
      </c>
      <c r="F189" s="333">
        <v>87.66</v>
      </c>
      <c r="G189" s="337">
        <f t="shared" si="18"/>
        <v>112.92</v>
      </c>
      <c r="H189" s="338">
        <f t="shared" si="19"/>
        <v>14025.6</v>
      </c>
      <c r="I189" s="255">
        <f t="shared" si="20"/>
        <v>18067.2</v>
      </c>
      <c r="M189" s="5"/>
    </row>
    <row r="190" spans="1:13" ht="48" x14ac:dyDescent="0.2">
      <c r="A190" s="248" t="s">
        <v>982</v>
      </c>
      <c r="B190" s="172" t="s">
        <v>993</v>
      </c>
      <c r="C190" s="173" t="s">
        <v>983</v>
      </c>
      <c r="D190" s="172" t="s">
        <v>803</v>
      </c>
      <c r="E190" s="165">
        <v>90</v>
      </c>
      <c r="F190" s="165">
        <v>66.680000000000007</v>
      </c>
      <c r="G190" s="197">
        <f t="shared" si="18"/>
        <v>85.9</v>
      </c>
      <c r="H190" s="198">
        <f t="shared" si="19"/>
        <v>6001.2</v>
      </c>
      <c r="I190" s="252">
        <f t="shared" si="20"/>
        <v>7731</v>
      </c>
      <c r="M190" s="5"/>
    </row>
    <row r="191" spans="1:13" ht="36" x14ac:dyDescent="0.2">
      <c r="A191" s="248" t="s">
        <v>984</v>
      </c>
      <c r="B191" s="172" t="s">
        <v>994</v>
      </c>
      <c r="C191" s="173" t="s">
        <v>985</v>
      </c>
      <c r="D191" s="165" t="s">
        <v>810</v>
      </c>
      <c r="E191" s="165">
        <v>20</v>
      </c>
      <c r="F191" s="165">
        <v>29.41</v>
      </c>
      <c r="G191" s="197">
        <f t="shared" si="18"/>
        <v>37.89</v>
      </c>
      <c r="H191" s="198">
        <f t="shared" si="19"/>
        <v>588.20000000000005</v>
      </c>
      <c r="I191" s="252">
        <f t="shared" si="20"/>
        <v>757.8</v>
      </c>
      <c r="M191" s="5"/>
    </row>
    <row r="192" spans="1:13" ht="24" x14ac:dyDescent="0.2">
      <c r="A192" s="248" t="s">
        <v>986</v>
      </c>
      <c r="B192" s="172" t="s">
        <v>995</v>
      </c>
      <c r="C192" s="173" t="s">
        <v>987</v>
      </c>
      <c r="D192" s="165" t="s">
        <v>810</v>
      </c>
      <c r="E192" s="165">
        <v>88</v>
      </c>
      <c r="F192" s="165">
        <v>30.59</v>
      </c>
      <c r="G192" s="197">
        <f t="shared" si="18"/>
        <v>39.409999999999997</v>
      </c>
      <c r="H192" s="198">
        <f t="shared" si="19"/>
        <v>2691.92</v>
      </c>
      <c r="I192" s="252">
        <f t="shared" si="20"/>
        <v>3468.08</v>
      </c>
      <c r="M192" s="5"/>
    </row>
    <row r="193" spans="1:13" x14ac:dyDescent="0.2">
      <c r="A193" s="248"/>
      <c r="B193" s="172"/>
      <c r="C193" s="173"/>
      <c r="D193" s="165"/>
      <c r="E193" s="165"/>
      <c r="F193" s="165"/>
      <c r="G193" s="197"/>
      <c r="H193" s="198"/>
      <c r="I193" s="252"/>
      <c r="M193" s="5"/>
    </row>
    <row r="194" spans="1:13" x14ac:dyDescent="0.2">
      <c r="A194" s="201"/>
      <c r="B194" s="209" t="s">
        <v>1124</v>
      </c>
      <c r="C194" s="210" t="s">
        <v>1125</v>
      </c>
      <c r="D194" s="203"/>
      <c r="E194" s="203"/>
      <c r="F194" s="203"/>
      <c r="G194" s="23"/>
      <c r="H194" s="207">
        <f>SUM(H195:H200)</f>
        <v>115339.00000000001</v>
      </c>
      <c r="I194" s="256">
        <f>SUM(I195:I200)</f>
        <v>148578.85</v>
      </c>
      <c r="M194" s="5"/>
    </row>
    <row r="195" spans="1:13" ht="84" x14ac:dyDescent="0.2">
      <c r="A195" s="204" t="s">
        <v>1038</v>
      </c>
      <c r="B195" s="205" t="s">
        <v>1152</v>
      </c>
      <c r="C195" s="206" t="s">
        <v>1039</v>
      </c>
      <c r="D195" s="165" t="s">
        <v>1040</v>
      </c>
      <c r="E195" s="165">
        <v>3</v>
      </c>
      <c r="F195" s="165">
        <v>443.74</v>
      </c>
      <c r="G195" s="197">
        <f t="shared" ref="G195:G200" si="21">ROUND($F195*$D$235,2)</f>
        <v>571.63</v>
      </c>
      <c r="H195" s="198">
        <f t="shared" ref="H195:H200" si="22">ROUND($E195*$F195,2)</f>
        <v>1331.22</v>
      </c>
      <c r="I195" s="252">
        <f t="shared" ref="I195:I200" si="23">ROUND($E195*$G195,2)</f>
        <v>1714.89</v>
      </c>
      <c r="M195" s="5"/>
    </row>
    <row r="196" spans="1:13" ht="84" x14ac:dyDescent="0.2">
      <c r="A196" s="204" t="s">
        <v>1041</v>
      </c>
      <c r="B196" s="205" t="s">
        <v>1153</v>
      </c>
      <c r="C196" s="206" t="s">
        <v>1042</v>
      </c>
      <c r="D196" s="165" t="s">
        <v>1040</v>
      </c>
      <c r="E196" s="165">
        <v>14</v>
      </c>
      <c r="F196" s="165">
        <v>851.4</v>
      </c>
      <c r="G196" s="197">
        <f t="shared" si="21"/>
        <v>1096.77</v>
      </c>
      <c r="H196" s="198">
        <f t="shared" si="22"/>
        <v>11919.6</v>
      </c>
      <c r="I196" s="252">
        <f t="shared" si="23"/>
        <v>15354.78</v>
      </c>
      <c r="M196" s="5"/>
    </row>
    <row r="197" spans="1:13" ht="84" x14ac:dyDescent="0.2">
      <c r="A197" s="204" t="s">
        <v>1043</v>
      </c>
      <c r="B197" s="205" t="s">
        <v>1154</v>
      </c>
      <c r="C197" s="206" t="s">
        <v>1044</v>
      </c>
      <c r="D197" s="165" t="s">
        <v>1040</v>
      </c>
      <c r="E197" s="165">
        <v>3</v>
      </c>
      <c r="F197" s="165">
        <v>924.23</v>
      </c>
      <c r="G197" s="197">
        <f t="shared" si="21"/>
        <v>1190.5899999999999</v>
      </c>
      <c r="H197" s="198">
        <f t="shared" si="22"/>
        <v>2772.69</v>
      </c>
      <c r="I197" s="252">
        <f t="shared" si="23"/>
        <v>3571.77</v>
      </c>
      <c r="M197" s="5"/>
    </row>
    <row r="198" spans="1:13" ht="84" x14ac:dyDescent="0.2">
      <c r="A198" s="204" t="s">
        <v>1050</v>
      </c>
      <c r="B198" s="205" t="s">
        <v>1155</v>
      </c>
      <c r="C198" s="206" t="s">
        <v>1049</v>
      </c>
      <c r="D198" s="165" t="s">
        <v>1040</v>
      </c>
      <c r="E198" s="165">
        <v>3</v>
      </c>
      <c r="F198" s="165">
        <v>2391.66</v>
      </c>
      <c r="G198" s="197">
        <f t="shared" si="21"/>
        <v>3080.94</v>
      </c>
      <c r="H198" s="198">
        <f t="shared" si="22"/>
        <v>7174.98</v>
      </c>
      <c r="I198" s="252">
        <f t="shared" si="23"/>
        <v>9242.82</v>
      </c>
      <c r="M198" s="5"/>
    </row>
    <row r="199" spans="1:13" ht="60" x14ac:dyDescent="0.2">
      <c r="A199" s="204" t="s">
        <v>1045</v>
      </c>
      <c r="B199" s="205" t="s">
        <v>1156</v>
      </c>
      <c r="C199" s="206" t="s">
        <v>1046</v>
      </c>
      <c r="D199" s="165" t="s">
        <v>803</v>
      </c>
      <c r="E199" s="165">
        <v>553</v>
      </c>
      <c r="F199" s="165">
        <v>149.07</v>
      </c>
      <c r="G199" s="197">
        <f t="shared" si="21"/>
        <v>192.03</v>
      </c>
      <c r="H199" s="198">
        <f t="shared" si="22"/>
        <v>82435.710000000006</v>
      </c>
      <c r="I199" s="252">
        <f t="shared" si="23"/>
        <v>106192.59</v>
      </c>
      <c r="M199" s="5"/>
    </row>
    <row r="200" spans="1:13" ht="36" x14ac:dyDescent="0.2">
      <c r="A200" s="201" t="s">
        <v>1126</v>
      </c>
      <c r="B200" s="205" t="s">
        <v>1157</v>
      </c>
      <c r="C200" s="202" t="s">
        <v>1047</v>
      </c>
      <c r="D200" s="165" t="s">
        <v>1048</v>
      </c>
      <c r="E200" s="165">
        <v>280</v>
      </c>
      <c r="F200" s="165">
        <v>34.659999999999997</v>
      </c>
      <c r="G200" s="197">
        <f t="shared" si="21"/>
        <v>44.65</v>
      </c>
      <c r="H200" s="198">
        <f t="shared" si="22"/>
        <v>9704.7999999999993</v>
      </c>
      <c r="I200" s="252">
        <f t="shared" si="23"/>
        <v>12502</v>
      </c>
      <c r="M200" s="5"/>
    </row>
    <row r="201" spans="1:13" x14ac:dyDescent="0.2">
      <c r="A201" s="231"/>
      <c r="B201" s="9"/>
      <c r="C201" s="7"/>
      <c r="D201" s="17"/>
      <c r="E201" s="23"/>
      <c r="F201" s="23"/>
      <c r="G201" s="23"/>
      <c r="H201" s="32"/>
      <c r="I201" s="232"/>
    </row>
    <row r="202" spans="1:13" x14ac:dyDescent="0.2">
      <c r="A202" s="233"/>
      <c r="B202" s="51" t="s">
        <v>126</v>
      </c>
      <c r="C202" s="52" t="s">
        <v>123</v>
      </c>
      <c r="D202" s="51"/>
      <c r="E202" s="54"/>
      <c r="F202" s="54"/>
      <c r="G202" s="54"/>
      <c r="H202" s="58">
        <f>SUM(H203:H208)</f>
        <v>34804.89</v>
      </c>
      <c r="I202" s="234">
        <f>SUM(I203:I208)</f>
        <v>44831.94</v>
      </c>
    </row>
    <row r="203" spans="1:13" ht="72" x14ac:dyDescent="0.2">
      <c r="A203" s="235" t="s">
        <v>1127</v>
      </c>
      <c r="B203" s="9" t="s">
        <v>313</v>
      </c>
      <c r="C203" s="7" t="s">
        <v>672</v>
      </c>
      <c r="D203" s="17" t="s">
        <v>17</v>
      </c>
      <c r="E203" s="23">
        <v>1643.12</v>
      </c>
      <c r="F203" s="165">
        <v>10.73</v>
      </c>
      <c r="G203" s="23">
        <f t="shared" ref="G203:G208" si="24">ROUND($F203*$D$235,2)</f>
        <v>13.82</v>
      </c>
      <c r="H203" s="32">
        <f t="shared" ref="H203:H208" si="25">ROUND($E203*$F203,2)</f>
        <v>17630.68</v>
      </c>
      <c r="I203" s="232">
        <f t="shared" ref="I203:I208" si="26">ROUND($E203*$G203,2)</f>
        <v>22707.919999999998</v>
      </c>
    </row>
    <row r="204" spans="1:13" ht="48" x14ac:dyDescent="0.2">
      <c r="A204" s="231" t="s">
        <v>1128</v>
      </c>
      <c r="B204" s="9" t="s">
        <v>378</v>
      </c>
      <c r="C204" s="7" t="s">
        <v>293</v>
      </c>
      <c r="D204" s="17" t="s">
        <v>17</v>
      </c>
      <c r="E204" s="23">
        <v>189.31</v>
      </c>
      <c r="F204" s="165">
        <v>20.29</v>
      </c>
      <c r="G204" s="23">
        <f t="shared" si="24"/>
        <v>26.14</v>
      </c>
      <c r="H204" s="32">
        <f t="shared" si="25"/>
        <v>3841.1</v>
      </c>
      <c r="I204" s="232">
        <f t="shared" si="26"/>
        <v>4948.5600000000004</v>
      </c>
    </row>
    <row r="205" spans="1:13" ht="72" x14ac:dyDescent="0.2">
      <c r="A205" s="236" t="s">
        <v>1129</v>
      </c>
      <c r="B205" s="16" t="s">
        <v>379</v>
      </c>
      <c r="C205" s="129" t="s">
        <v>294</v>
      </c>
      <c r="D205" s="130" t="s">
        <v>17</v>
      </c>
      <c r="E205" s="25">
        <v>189.31</v>
      </c>
      <c r="F205" s="333">
        <v>22.77</v>
      </c>
      <c r="G205" s="25">
        <f t="shared" si="24"/>
        <v>29.33</v>
      </c>
      <c r="H205" s="56">
        <f t="shared" si="25"/>
        <v>4310.59</v>
      </c>
      <c r="I205" s="334">
        <f t="shared" si="26"/>
        <v>5552.46</v>
      </c>
    </row>
    <row r="206" spans="1:13" ht="60" x14ac:dyDescent="0.2">
      <c r="A206" s="231" t="s">
        <v>1130</v>
      </c>
      <c r="B206" s="9" t="s">
        <v>380</v>
      </c>
      <c r="C206" s="7" t="s">
        <v>135</v>
      </c>
      <c r="D206" s="17" t="s">
        <v>17</v>
      </c>
      <c r="E206" s="23">
        <v>124.23</v>
      </c>
      <c r="F206" s="165">
        <v>15.87</v>
      </c>
      <c r="G206" s="23">
        <f t="shared" si="24"/>
        <v>20.440000000000001</v>
      </c>
      <c r="H206" s="32">
        <f t="shared" si="25"/>
        <v>1971.53</v>
      </c>
      <c r="I206" s="232">
        <f t="shared" si="26"/>
        <v>2539.2600000000002</v>
      </c>
    </row>
    <row r="207" spans="1:13" ht="48" x14ac:dyDescent="0.2">
      <c r="A207" s="231" t="s">
        <v>1131</v>
      </c>
      <c r="B207" s="9" t="s">
        <v>381</v>
      </c>
      <c r="C207" s="7" t="s">
        <v>295</v>
      </c>
      <c r="D207" s="17" t="s">
        <v>17</v>
      </c>
      <c r="E207" s="23">
        <v>333.23</v>
      </c>
      <c r="F207" s="165">
        <v>11.85</v>
      </c>
      <c r="G207" s="23">
        <f t="shared" si="24"/>
        <v>15.27</v>
      </c>
      <c r="H207" s="32">
        <f t="shared" si="25"/>
        <v>3948.78</v>
      </c>
      <c r="I207" s="232">
        <f t="shared" si="26"/>
        <v>5088.42</v>
      </c>
    </row>
    <row r="208" spans="1:13" ht="48" x14ac:dyDescent="0.2">
      <c r="A208" s="231" t="s">
        <v>1132</v>
      </c>
      <c r="B208" s="9" t="s">
        <v>382</v>
      </c>
      <c r="C208" s="7" t="s">
        <v>676</v>
      </c>
      <c r="D208" s="17" t="s">
        <v>45</v>
      </c>
      <c r="E208" s="23">
        <v>338.3</v>
      </c>
      <c r="F208" s="165">
        <v>9.17</v>
      </c>
      <c r="G208" s="23">
        <f t="shared" si="24"/>
        <v>11.81</v>
      </c>
      <c r="H208" s="32">
        <f t="shared" si="25"/>
        <v>3102.21</v>
      </c>
      <c r="I208" s="232">
        <f t="shared" si="26"/>
        <v>3995.32</v>
      </c>
    </row>
    <row r="209" spans="1:9" x14ac:dyDescent="0.2">
      <c r="A209" s="231"/>
      <c r="B209" s="9"/>
      <c r="C209" s="7"/>
      <c r="D209" s="17"/>
      <c r="E209" s="23"/>
      <c r="F209" s="23"/>
      <c r="G209" s="23"/>
      <c r="H209" s="32"/>
      <c r="I209" s="232"/>
    </row>
    <row r="210" spans="1:9" x14ac:dyDescent="0.2">
      <c r="A210" s="233"/>
      <c r="B210" s="51" t="s">
        <v>132</v>
      </c>
      <c r="C210" s="52" t="s">
        <v>127</v>
      </c>
      <c r="D210" s="51"/>
      <c r="E210" s="54"/>
      <c r="F210" s="54"/>
      <c r="G210" s="54"/>
      <c r="H210" s="58">
        <f>SUM(H211:H226)</f>
        <v>11783.32</v>
      </c>
      <c r="I210" s="234">
        <f>SUM(I211:I226)</f>
        <v>15179.359999999999</v>
      </c>
    </row>
    <row r="211" spans="1:9" ht="36" x14ac:dyDescent="0.2">
      <c r="A211" s="231" t="s">
        <v>1133</v>
      </c>
      <c r="B211" s="9" t="s">
        <v>314</v>
      </c>
      <c r="C211" s="7" t="s">
        <v>679</v>
      </c>
      <c r="D211" s="17" t="s">
        <v>16</v>
      </c>
      <c r="E211" s="23">
        <v>1</v>
      </c>
      <c r="F211" s="165">
        <v>180.28</v>
      </c>
      <c r="G211" s="23">
        <f t="shared" ref="G211:G226" si="27">ROUND($F211*$D$235,2)</f>
        <v>232.24</v>
      </c>
      <c r="H211" s="32">
        <f t="shared" ref="H211:H226" si="28">ROUND($E211*$F211,2)</f>
        <v>180.28</v>
      </c>
      <c r="I211" s="232">
        <f t="shared" ref="I211:I226" si="29">ROUND($E211*$G211,2)</f>
        <v>232.24</v>
      </c>
    </row>
    <row r="212" spans="1:9" ht="24" x14ac:dyDescent="0.2">
      <c r="A212" s="231" t="s">
        <v>1134</v>
      </c>
      <c r="B212" s="9" t="s">
        <v>1023</v>
      </c>
      <c r="C212" s="7" t="s">
        <v>145</v>
      </c>
      <c r="D212" s="17" t="s">
        <v>16</v>
      </c>
      <c r="E212" s="23">
        <v>1</v>
      </c>
      <c r="F212" s="165">
        <v>29.15</v>
      </c>
      <c r="G212" s="23">
        <f t="shared" si="27"/>
        <v>37.549999999999997</v>
      </c>
      <c r="H212" s="32">
        <f t="shared" si="28"/>
        <v>29.15</v>
      </c>
      <c r="I212" s="232">
        <f t="shared" si="29"/>
        <v>37.549999999999997</v>
      </c>
    </row>
    <row r="213" spans="1:9" ht="48" x14ac:dyDescent="0.2">
      <c r="A213" s="231" t="s">
        <v>1135</v>
      </c>
      <c r="B213" s="9" t="s">
        <v>1024</v>
      </c>
      <c r="C213" s="7" t="s">
        <v>681</v>
      </c>
      <c r="D213" s="17" t="s">
        <v>17</v>
      </c>
      <c r="E213" s="23">
        <v>4.8899999999999997</v>
      </c>
      <c r="F213" s="165">
        <v>531.1</v>
      </c>
      <c r="G213" s="23">
        <f t="shared" si="27"/>
        <v>684.16</v>
      </c>
      <c r="H213" s="32">
        <f t="shared" si="28"/>
        <v>2597.08</v>
      </c>
      <c r="I213" s="232">
        <f t="shared" si="29"/>
        <v>3345.54</v>
      </c>
    </row>
    <row r="214" spans="1:9" ht="36" x14ac:dyDescent="0.2">
      <c r="A214" s="231" t="s">
        <v>1136</v>
      </c>
      <c r="B214" s="9" t="s">
        <v>1025</v>
      </c>
      <c r="C214" s="7" t="s">
        <v>684</v>
      </c>
      <c r="D214" s="17" t="s">
        <v>45</v>
      </c>
      <c r="E214" s="23">
        <v>15.35</v>
      </c>
      <c r="F214" s="165">
        <v>36.94</v>
      </c>
      <c r="G214" s="23">
        <f t="shared" si="27"/>
        <v>47.59</v>
      </c>
      <c r="H214" s="32">
        <f t="shared" si="28"/>
        <v>567.03</v>
      </c>
      <c r="I214" s="232">
        <f t="shared" si="29"/>
        <v>730.51</v>
      </c>
    </row>
    <row r="215" spans="1:9" ht="36" x14ac:dyDescent="0.2">
      <c r="A215" s="231" t="s">
        <v>1137</v>
      </c>
      <c r="B215" s="9" t="s">
        <v>1150</v>
      </c>
      <c r="C215" s="7" t="s">
        <v>686</v>
      </c>
      <c r="D215" s="17" t="s">
        <v>45</v>
      </c>
      <c r="E215" s="23">
        <v>7.05</v>
      </c>
      <c r="F215" s="165">
        <v>92.63</v>
      </c>
      <c r="G215" s="23">
        <f t="shared" si="27"/>
        <v>119.33</v>
      </c>
      <c r="H215" s="32">
        <f t="shared" si="28"/>
        <v>653.04</v>
      </c>
      <c r="I215" s="232">
        <f t="shared" si="29"/>
        <v>841.28</v>
      </c>
    </row>
    <row r="216" spans="1:9" ht="60" x14ac:dyDescent="0.2">
      <c r="A216" s="231" t="s">
        <v>1138</v>
      </c>
      <c r="B216" s="9" t="s">
        <v>1026</v>
      </c>
      <c r="C216" s="7" t="s">
        <v>688</v>
      </c>
      <c r="D216" s="17" t="s">
        <v>16</v>
      </c>
      <c r="E216" s="23">
        <v>7</v>
      </c>
      <c r="F216" s="165">
        <v>231.27</v>
      </c>
      <c r="G216" s="23">
        <f t="shared" si="27"/>
        <v>297.92</v>
      </c>
      <c r="H216" s="32">
        <f t="shared" si="28"/>
        <v>1618.89</v>
      </c>
      <c r="I216" s="232">
        <f t="shared" si="29"/>
        <v>2085.44</v>
      </c>
    </row>
    <row r="217" spans="1:9" ht="84" x14ac:dyDescent="0.2">
      <c r="A217" s="231" t="s">
        <v>1139</v>
      </c>
      <c r="B217" s="9" t="s">
        <v>1027</v>
      </c>
      <c r="C217" s="7" t="s">
        <v>296</v>
      </c>
      <c r="D217" s="17" t="s">
        <v>16</v>
      </c>
      <c r="E217" s="23">
        <v>8</v>
      </c>
      <c r="F217" s="165">
        <v>295.82</v>
      </c>
      <c r="G217" s="23">
        <f t="shared" si="27"/>
        <v>381.08</v>
      </c>
      <c r="H217" s="32">
        <f t="shared" si="28"/>
        <v>2366.56</v>
      </c>
      <c r="I217" s="232">
        <f t="shared" si="29"/>
        <v>3048.64</v>
      </c>
    </row>
    <row r="218" spans="1:9" ht="48" x14ac:dyDescent="0.2">
      <c r="A218" s="231" t="s">
        <v>1140</v>
      </c>
      <c r="B218" s="9" t="s">
        <v>1028</v>
      </c>
      <c r="C218" s="7" t="s">
        <v>690</v>
      </c>
      <c r="D218" s="17" t="s">
        <v>16</v>
      </c>
      <c r="E218" s="23">
        <v>2</v>
      </c>
      <c r="F218" s="165">
        <v>523</v>
      </c>
      <c r="G218" s="23">
        <f t="shared" si="27"/>
        <v>673.73</v>
      </c>
      <c r="H218" s="32">
        <f t="shared" si="28"/>
        <v>1046</v>
      </c>
      <c r="I218" s="232">
        <f t="shared" si="29"/>
        <v>1347.46</v>
      </c>
    </row>
    <row r="219" spans="1:9" ht="36" x14ac:dyDescent="0.2">
      <c r="A219" s="231" t="s">
        <v>1141</v>
      </c>
      <c r="B219" s="9" t="s">
        <v>1029</v>
      </c>
      <c r="C219" s="7" t="s">
        <v>692</v>
      </c>
      <c r="D219" s="17" t="s">
        <v>16</v>
      </c>
      <c r="E219" s="23">
        <v>2</v>
      </c>
      <c r="F219" s="165">
        <v>56.07</v>
      </c>
      <c r="G219" s="23">
        <f t="shared" si="27"/>
        <v>72.23</v>
      </c>
      <c r="H219" s="32">
        <f t="shared" si="28"/>
        <v>112.14</v>
      </c>
      <c r="I219" s="232">
        <f t="shared" si="29"/>
        <v>144.46</v>
      </c>
    </row>
    <row r="220" spans="1:9" ht="36" x14ac:dyDescent="0.2">
      <c r="A220" s="231">
        <v>86903</v>
      </c>
      <c r="B220" s="9" t="s">
        <v>1030</v>
      </c>
      <c r="C220" s="7" t="s">
        <v>693</v>
      </c>
      <c r="D220" s="17" t="s">
        <v>16</v>
      </c>
      <c r="E220" s="23">
        <v>1</v>
      </c>
      <c r="F220" s="165">
        <v>327.48</v>
      </c>
      <c r="G220" s="23">
        <f t="shared" si="27"/>
        <v>421.86</v>
      </c>
      <c r="H220" s="32">
        <f t="shared" si="28"/>
        <v>327.48</v>
      </c>
      <c r="I220" s="232">
        <f t="shared" si="29"/>
        <v>421.86</v>
      </c>
    </row>
    <row r="221" spans="1:9" ht="60" x14ac:dyDescent="0.2">
      <c r="A221" s="231" t="s">
        <v>1142</v>
      </c>
      <c r="B221" s="9" t="s">
        <v>1031</v>
      </c>
      <c r="C221" s="7" t="s">
        <v>694</v>
      </c>
      <c r="D221" s="17" t="s">
        <v>16</v>
      </c>
      <c r="E221" s="23">
        <v>1</v>
      </c>
      <c r="F221" s="165">
        <v>439.37</v>
      </c>
      <c r="G221" s="23">
        <f t="shared" si="27"/>
        <v>566</v>
      </c>
      <c r="H221" s="32">
        <f t="shared" si="28"/>
        <v>439.37</v>
      </c>
      <c r="I221" s="232">
        <f t="shared" si="29"/>
        <v>566</v>
      </c>
    </row>
    <row r="222" spans="1:9" ht="48" x14ac:dyDescent="0.2">
      <c r="A222" s="231" t="s">
        <v>1143</v>
      </c>
      <c r="B222" s="9" t="s">
        <v>1032</v>
      </c>
      <c r="C222" s="7" t="s">
        <v>297</v>
      </c>
      <c r="D222" s="17" t="s">
        <v>16</v>
      </c>
      <c r="E222" s="23">
        <v>1</v>
      </c>
      <c r="F222" s="165">
        <v>378.57</v>
      </c>
      <c r="G222" s="23">
        <f t="shared" si="27"/>
        <v>487.67</v>
      </c>
      <c r="H222" s="32">
        <f t="shared" si="28"/>
        <v>378.57</v>
      </c>
      <c r="I222" s="232">
        <f t="shared" si="29"/>
        <v>487.67</v>
      </c>
    </row>
    <row r="223" spans="1:9" ht="36" x14ac:dyDescent="0.2">
      <c r="A223" s="231" t="s">
        <v>1144</v>
      </c>
      <c r="B223" s="9" t="s">
        <v>1033</v>
      </c>
      <c r="C223" s="7" t="s">
        <v>147</v>
      </c>
      <c r="D223" s="17" t="s">
        <v>16</v>
      </c>
      <c r="E223" s="23">
        <v>4</v>
      </c>
      <c r="F223" s="165">
        <v>102.77</v>
      </c>
      <c r="G223" s="23">
        <f t="shared" si="27"/>
        <v>132.38999999999999</v>
      </c>
      <c r="H223" s="32">
        <f t="shared" si="28"/>
        <v>411.08</v>
      </c>
      <c r="I223" s="232">
        <f t="shared" si="29"/>
        <v>529.55999999999995</v>
      </c>
    </row>
    <row r="224" spans="1:9" ht="36" x14ac:dyDescent="0.2">
      <c r="A224" s="236" t="s">
        <v>1145</v>
      </c>
      <c r="B224" s="16" t="s">
        <v>1034</v>
      </c>
      <c r="C224" s="129" t="s">
        <v>695</v>
      </c>
      <c r="D224" s="130" t="s">
        <v>16</v>
      </c>
      <c r="E224" s="25">
        <v>2</v>
      </c>
      <c r="F224" s="333">
        <v>122.94</v>
      </c>
      <c r="G224" s="25">
        <f t="shared" si="27"/>
        <v>158.37</v>
      </c>
      <c r="H224" s="56">
        <f t="shared" si="28"/>
        <v>245.88</v>
      </c>
      <c r="I224" s="334">
        <f t="shared" si="29"/>
        <v>316.74</v>
      </c>
    </row>
    <row r="225" spans="1:14" ht="48" x14ac:dyDescent="0.2">
      <c r="A225" s="231" t="s">
        <v>1146</v>
      </c>
      <c r="B225" s="9" t="s">
        <v>1035</v>
      </c>
      <c r="C225" s="7" t="s">
        <v>697</v>
      </c>
      <c r="D225" s="17" t="s">
        <v>16</v>
      </c>
      <c r="E225" s="23">
        <v>0.88</v>
      </c>
      <c r="F225" s="165">
        <v>578.95000000000005</v>
      </c>
      <c r="G225" s="23">
        <f t="shared" si="27"/>
        <v>745.8</v>
      </c>
      <c r="H225" s="32">
        <f t="shared" si="28"/>
        <v>509.48</v>
      </c>
      <c r="I225" s="232">
        <f t="shared" si="29"/>
        <v>656.3</v>
      </c>
    </row>
    <row r="226" spans="1:14" ht="48" x14ac:dyDescent="0.2">
      <c r="A226" s="231" t="s">
        <v>1147</v>
      </c>
      <c r="B226" s="9" t="s">
        <v>1036</v>
      </c>
      <c r="C226" s="7" t="s">
        <v>143</v>
      </c>
      <c r="D226" s="17" t="s">
        <v>16</v>
      </c>
      <c r="E226" s="23">
        <v>3</v>
      </c>
      <c r="F226" s="165">
        <v>100.43</v>
      </c>
      <c r="G226" s="23">
        <f t="shared" si="27"/>
        <v>129.37</v>
      </c>
      <c r="H226" s="32">
        <f t="shared" si="28"/>
        <v>301.29000000000002</v>
      </c>
      <c r="I226" s="232">
        <f t="shared" si="29"/>
        <v>388.11</v>
      </c>
    </row>
    <row r="227" spans="1:14" x14ac:dyDescent="0.2">
      <c r="A227" s="231"/>
      <c r="B227" s="9"/>
      <c r="C227" s="7"/>
      <c r="D227" s="17"/>
      <c r="E227" s="23"/>
      <c r="F227" s="23"/>
      <c r="G227" s="23"/>
      <c r="H227" s="32"/>
      <c r="I227" s="232"/>
    </row>
    <row r="228" spans="1:14" x14ac:dyDescent="0.2">
      <c r="A228" s="233"/>
      <c r="B228" s="51" t="s">
        <v>247</v>
      </c>
      <c r="C228" s="52" t="s">
        <v>133</v>
      </c>
      <c r="D228" s="51"/>
      <c r="E228" s="54"/>
      <c r="F228" s="54"/>
      <c r="G228" s="54"/>
      <c r="H228" s="58">
        <f>SUM(H229)</f>
        <v>80052.2</v>
      </c>
      <c r="I228" s="234">
        <f>SUM(I229)</f>
        <v>103123.24</v>
      </c>
    </row>
    <row r="229" spans="1:14" ht="204" x14ac:dyDescent="0.2">
      <c r="A229" s="231" t="s">
        <v>1148</v>
      </c>
      <c r="B229" s="9" t="s">
        <v>315</v>
      </c>
      <c r="C229" s="7" t="s">
        <v>298</v>
      </c>
      <c r="D229" s="17" t="s">
        <v>16</v>
      </c>
      <c r="E229" s="23">
        <v>1</v>
      </c>
      <c r="F229" s="165">
        <v>80052.2</v>
      </c>
      <c r="G229" s="23">
        <f>ROUND($F229*$D$235,2)</f>
        <v>103123.24</v>
      </c>
      <c r="H229" s="32">
        <f>ROUND($E229*$F229,2)</f>
        <v>80052.2</v>
      </c>
      <c r="I229" s="232">
        <f>ROUND($E229*$G229,2)</f>
        <v>103123.24</v>
      </c>
      <c r="N229" s="5"/>
    </row>
    <row r="230" spans="1:14" x14ac:dyDescent="0.2">
      <c r="A230" s="231"/>
      <c r="B230" s="9"/>
      <c r="C230" s="22"/>
      <c r="D230" s="22"/>
      <c r="E230" s="23"/>
      <c r="F230" s="23"/>
      <c r="G230" s="23"/>
      <c r="H230" s="32"/>
      <c r="I230" s="232"/>
    </row>
    <row r="231" spans="1:14" ht="15" customHeight="1" x14ac:dyDescent="0.2">
      <c r="A231" s="402" t="s">
        <v>467</v>
      </c>
      <c r="B231" s="403"/>
      <c r="C231" s="403"/>
      <c r="D231" s="403"/>
      <c r="E231" s="403"/>
      <c r="F231" s="403"/>
      <c r="G231" s="404"/>
      <c r="H231" s="55">
        <f>SUM(H16,H20,H40,H49,H54,H59,H64,H70,H91,H97,H110,H117,H202,H210,H228,)</f>
        <v>642669.8899999999</v>
      </c>
      <c r="I231" s="257">
        <f>SUM(I16,I20,I40,I49,I54,I59,I64,I70,I91,I97,I110,I117,I202,I210,I228)</f>
        <v>878241.46999999986</v>
      </c>
    </row>
    <row r="232" spans="1:14" x14ac:dyDescent="0.2">
      <c r="A232" s="258"/>
      <c r="I232" s="259"/>
    </row>
    <row r="233" spans="1:14" x14ac:dyDescent="0.2">
      <c r="A233" s="258"/>
      <c r="I233" s="259"/>
    </row>
    <row r="234" spans="1:14" x14ac:dyDescent="0.2">
      <c r="A234" s="258"/>
      <c r="I234" s="259"/>
    </row>
    <row r="235" spans="1:14" x14ac:dyDescent="0.2">
      <c r="A235" s="258"/>
      <c r="C235" s="61" t="s">
        <v>1149</v>
      </c>
      <c r="D235" s="61">
        <v>1.2882</v>
      </c>
      <c r="I235" s="259"/>
    </row>
    <row r="236" spans="1:14" x14ac:dyDescent="0.2">
      <c r="A236" s="258"/>
      <c r="I236" s="259"/>
    </row>
    <row r="237" spans="1:14" x14ac:dyDescent="0.2">
      <c r="A237" s="258"/>
      <c r="I237" s="259"/>
    </row>
    <row r="238" spans="1:14" x14ac:dyDescent="0.2">
      <c r="A238" s="258"/>
      <c r="I238" s="259"/>
    </row>
    <row r="239" spans="1:14" x14ac:dyDescent="0.2">
      <c r="A239" s="258"/>
      <c r="I239" s="259"/>
    </row>
    <row r="240" spans="1:14" x14ac:dyDescent="0.2">
      <c r="A240" s="258"/>
      <c r="I240" s="259"/>
    </row>
    <row r="241" spans="1:9" x14ac:dyDescent="0.2">
      <c r="A241" s="258"/>
      <c r="I241" s="259"/>
    </row>
    <row r="242" spans="1:9" x14ac:dyDescent="0.2">
      <c r="A242" s="258"/>
      <c r="I242" s="259"/>
    </row>
    <row r="243" spans="1:9" x14ac:dyDescent="0.2">
      <c r="A243" s="258"/>
      <c r="I243" s="259"/>
    </row>
    <row r="244" spans="1:9" x14ac:dyDescent="0.2">
      <c r="A244" s="258"/>
      <c r="I244" s="259"/>
    </row>
    <row r="245" spans="1:9" x14ac:dyDescent="0.2">
      <c r="A245" s="258"/>
      <c r="I245" s="259"/>
    </row>
    <row r="246" spans="1:9" x14ac:dyDescent="0.2">
      <c r="A246" s="258"/>
      <c r="I246" s="259"/>
    </row>
    <row r="247" spans="1:9" x14ac:dyDescent="0.2">
      <c r="A247" s="258"/>
      <c r="I247" s="259"/>
    </row>
    <row r="248" spans="1:9" x14ac:dyDescent="0.2">
      <c r="A248" s="258"/>
      <c r="I248" s="259"/>
    </row>
    <row r="249" spans="1:9" x14ac:dyDescent="0.2">
      <c r="A249" s="258"/>
      <c r="I249" s="259"/>
    </row>
    <row r="250" spans="1:9" x14ac:dyDescent="0.2">
      <c r="A250" s="258"/>
      <c r="I250" s="259"/>
    </row>
    <row r="251" spans="1:9" x14ac:dyDescent="0.2">
      <c r="A251" s="258"/>
      <c r="I251" s="259"/>
    </row>
    <row r="252" spans="1:9" x14ac:dyDescent="0.2">
      <c r="A252" s="258"/>
      <c r="I252" s="259"/>
    </row>
    <row r="253" spans="1:9" x14ac:dyDescent="0.2">
      <c r="A253" s="258"/>
      <c r="I253" s="259"/>
    </row>
    <row r="254" spans="1:9" x14ac:dyDescent="0.2">
      <c r="A254" s="258"/>
      <c r="I254" s="259"/>
    </row>
    <row r="255" spans="1:9" x14ac:dyDescent="0.2">
      <c r="A255" s="258"/>
      <c r="I255" s="259"/>
    </row>
    <row r="256" spans="1:9" x14ac:dyDescent="0.2">
      <c r="A256" s="258"/>
      <c r="I256" s="259"/>
    </row>
    <row r="257" spans="1:9" x14ac:dyDescent="0.2">
      <c r="A257" s="258"/>
      <c r="I257" s="259"/>
    </row>
    <row r="258" spans="1:9" x14ac:dyDescent="0.2">
      <c r="A258" s="258"/>
      <c r="I258" s="259"/>
    </row>
    <row r="259" spans="1:9" x14ac:dyDescent="0.2">
      <c r="A259" s="258"/>
      <c r="I259" s="259"/>
    </row>
    <row r="260" spans="1:9" x14ac:dyDescent="0.2">
      <c r="A260" s="258"/>
      <c r="I260" s="259"/>
    </row>
    <row r="261" spans="1:9" x14ac:dyDescent="0.2">
      <c r="A261" s="258"/>
      <c r="I261" s="259"/>
    </row>
    <row r="262" spans="1:9" x14ac:dyDescent="0.2">
      <c r="A262" s="258"/>
      <c r="I262" s="259"/>
    </row>
    <row r="263" spans="1:9" x14ac:dyDescent="0.2">
      <c r="A263" s="258"/>
      <c r="I263" s="259"/>
    </row>
    <row r="264" spans="1:9" x14ac:dyDescent="0.2">
      <c r="A264" s="258"/>
      <c r="I264" s="259"/>
    </row>
    <row r="265" spans="1:9" x14ac:dyDescent="0.2">
      <c r="A265" s="258"/>
      <c r="I265" s="259"/>
    </row>
    <row r="266" spans="1:9" x14ac:dyDescent="0.2">
      <c r="A266" s="258"/>
      <c r="I266" s="259"/>
    </row>
    <row r="267" spans="1:9" x14ac:dyDescent="0.2">
      <c r="A267" s="258"/>
      <c r="I267" s="259"/>
    </row>
    <row r="268" spans="1:9" ht="13.5" thickBot="1" x14ac:dyDescent="0.25">
      <c r="A268" s="260"/>
      <c r="B268" s="261"/>
      <c r="C268" s="261"/>
      <c r="D268" s="261"/>
      <c r="E268" s="262"/>
      <c r="F268" s="262"/>
      <c r="G268" s="262"/>
      <c r="H268" s="263"/>
      <c r="I268" s="264"/>
    </row>
  </sheetData>
  <mergeCells count="6">
    <mergeCell ref="G13:H13"/>
    <mergeCell ref="A11:F11"/>
    <mergeCell ref="A12:F12"/>
    <mergeCell ref="G11:H11"/>
    <mergeCell ref="A231:G231"/>
    <mergeCell ref="A14:I14"/>
  </mergeCells>
  <phoneticPr fontId="38" type="noConversion"/>
  <hyperlinks>
    <hyperlink ref="G195:G196" r:id="rId1" display="DATA:Setembro/2010"/>
    <hyperlink ref="G196" r:id="rId2" display="DATA:Setembro/2010"/>
    <hyperlink ref="G197" r:id="rId3" display="DATA:Setembro/2010"/>
    <hyperlink ref="G198" r:id="rId4" display="DATA:Setembro/2010"/>
    <hyperlink ref="G199" r:id="rId5" display="DATA:Setembro/2010"/>
    <hyperlink ref="G200" r:id="rId6" display="DATA:Setembro/2010"/>
  </hyperlinks>
  <printOptions horizontalCentered="1"/>
  <pageMargins left="0.59055118110236227" right="0.59055118110236227" top="0.78740157480314965" bottom="0.78740157480314965" header="0.31496062992125984" footer="0.31496062992125984"/>
  <pageSetup paperSize="9" scale="71" fitToHeight="0" orientation="portrait"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P1513"/>
  <sheetViews>
    <sheetView view="pageBreakPreview" zoomScale="90" zoomScaleNormal="60" zoomScaleSheetLayoutView="90" workbookViewId="0">
      <pane ySplit="15" topLeftCell="A73" activePane="bottomLeft" state="frozen"/>
      <selection pane="bottomLeft" activeCell="C9" sqref="C9"/>
    </sheetView>
  </sheetViews>
  <sheetFormatPr defaultRowHeight="14.25" x14ac:dyDescent="0.2"/>
  <cols>
    <col min="1" max="1" width="14.5703125" style="4" customWidth="1"/>
    <col min="2" max="2" width="8.28515625" style="4" customWidth="1"/>
    <col min="3" max="3" width="44.28515625" style="3" bestFit="1" customWidth="1"/>
    <col min="4" max="12" width="9.140625" style="1"/>
    <col min="13" max="13" width="10.140625" style="1" bestFit="1" customWidth="1"/>
    <col min="14" max="16384" width="9.140625" style="1"/>
  </cols>
  <sheetData>
    <row r="1" spans="1:13" x14ac:dyDescent="0.2">
      <c r="A1" s="222"/>
      <c r="B1" s="223"/>
      <c r="C1" s="223"/>
      <c r="D1" s="223"/>
      <c r="E1" s="223"/>
      <c r="F1" s="223"/>
      <c r="G1" s="223"/>
      <c r="H1" s="224"/>
      <c r="I1" s="265"/>
      <c r="J1" s="265"/>
      <c r="K1" s="265"/>
      <c r="L1" s="265"/>
      <c r="M1" s="266"/>
    </row>
    <row r="2" spans="1:13" x14ac:dyDescent="0.2">
      <c r="A2" s="226"/>
      <c r="B2" s="137"/>
      <c r="C2" s="137"/>
      <c r="D2" s="137"/>
      <c r="E2" s="137"/>
      <c r="F2" s="137"/>
      <c r="G2" s="137"/>
      <c r="H2" s="317"/>
      <c r="I2" s="139"/>
      <c r="J2" s="139"/>
      <c r="K2" s="139"/>
      <c r="L2" s="139"/>
      <c r="M2" s="295"/>
    </row>
    <row r="3" spans="1:13" x14ac:dyDescent="0.2">
      <c r="A3" s="226"/>
      <c r="B3" s="137"/>
      <c r="C3" s="137"/>
      <c r="D3" s="137"/>
      <c r="E3" s="137"/>
      <c r="F3" s="137"/>
      <c r="G3" s="137"/>
      <c r="H3" s="317"/>
      <c r="I3" s="139"/>
      <c r="J3" s="139"/>
      <c r="K3" s="139"/>
      <c r="L3" s="139"/>
      <c r="M3" s="295"/>
    </row>
    <row r="4" spans="1:13" x14ac:dyDescent="0.2">
      <c r="A4" s="226"/>
      <c r="B4" s="137"/>
      <c r="C4" s="137"/>
      <c r="D4" s="137"/>
      <c r="E4" s="137"/>
      <c r="F4" s="137"/>
      <c r="G4" s="137"/>
      <c r="H4" s="317"/>
      <c r="I4" s="139"/>
      <c r="J4" s="139"/>
      <c r="K4" s="139"/>
      <c r="L4" s="139"/>
      <c r="M4" s="295"/>
    </row>
    <row r="5" spans="1:13" x14ac:dyDescent="0.2">
      <c r="A5" s="226"/>
      <c r="B5" s="137"/>
      <c r="C5" s="137"/>
      <c r="D5" s="137"/>
      <c r="E5" s="137"/>
      <c r="F5" s="137"/>
      <c r="G5" s="137"/>
      <c r="H5" s="317"/>
      <c r="I5" s="211"/>
      <c r="J5" s="211"/>
      <c r="K5" s="211"/>
      <c r="L5" s="211"/>
      <c r="M5" s="267"/>
    </row>
    <row r="6" spans="1:13" x14ac:dyDescent="0.2">
      <c r="A6" s="226"/>
      <c r="B6" s="137"/>
      <c r="C6" s="137"/>
      <c r="D6" s="137"/>
      <c r="E6" s="137"/>
      <c r="F6" s="137"/>
      <c r="G6" s="137"/>
      <c r="H6" s="317"/>
      <c r="I6" s="211"/>
      <c r="J6" s="211"/>
      <c r="K6" s="211"/>
      <c r="L6" s="211"/>
      <c r="M6" s="267"/>
    </row>
    <row r="7" spans="1:13" x14ac:dyDescent="0.2">
      <c r="A7" s="226"/>
      <c r="B7" s="137"/>
      <c r="C7" s="137"/>
      <c r="D7" s="137"/>
      <c r="E7" s="137"/>
      <c r="F7" s="137"/>
      <c r="G7" s="137"/>
      <c r="H7" s="317"/>
      <c r="I7" s="211"/>
      <c r="J7" s="211"/>
      <c r="K7" s="211"/>
      <c r="L7" s="211"/>
      <c r="M7" s="267"/>
    </row>
    <row r="8" spans="1:13" x14ac:dyDescent="0.2">
      <c r="A8" s="226"/>
      <c r="B8" s="137"/>
      <c r="C8" s="137"/>
      <c r="D8" s="137"/>
      <c r="E8" s="137"/>
      <c r="F8" s="137"/>
      <c r="G8" s="137"/>
      <c r="H8" s="317"/>
      <c r="I8" s="211"/>
      <c r="J8" s="211"/>
      <c r="K8" s="211"/>
      <c r="L8" s="211"/>
      <c r="M8" s="267"/>
    </row>
    <row r="9" spans="1:13" x14ac:dyDescent="0.2">
      <c r="A9" s="226"/>
      <c r="B9" s="137"/>
      <c r="C9" s="137"/>
      <c r="D9" s="137"/>
      <c r="E9" s="137"/>
      <c r="F9" s="137"/>
      <c r="G9" s="137"/>
      <c r="H9" s="317"/>
      <c r="I9" s="317"/>
      <c r="J9" s="211"/>
      <c r="K9" s="211"/>
      <c r="L9" s="211"/>
      <c r="M9" s="267"/>
    </row>
    <row r="10" spans="1:13" x14ac:dyDescent="0.2">
      <c r="A10" s="226"/>
      <c r="B10" s="137"/>
      <c r="C10" s="137"/>
      <c r="D10" s="137"/>
      <c r="E10" s="137"/>
      <c r="F10" s="137"/>
      <c r="G10" s="137"/>
      <c r="H10" s="317"/>
      <c r="I10" s="317"/>
      <c r="J10" s="211"/>
      <c r="K10" s="211"/>
      <c r="L10" s="211"/>
      <c r="M10" s="267"/>
    </row>
    <row r="11" spans="1:13" ht="15.75" x14ac:dyDescent="0.2">
      <c r="A11" s="400" t="s">
        <v>1168</v>
      </c>
      <c r="B11" s="401"/>
      <c r="C11" s="401"/>
      <c r="D11" s="401"/>
      <c r="E11" s="401"/>
      <c r="F11" s="401"/>
      <c r="G11" s="401"/>
      <c r="H11" s="401"/>
      <c r="I11" s="326"/>
      <c r="J11" s="211"/>
      <c r="K11" s="211"/>
      <c r="L11" s="211"/>
      <c r="M11" s="267"/>
    </row>
    <row r="12" spans="1:13" ht="15.75" x14ac:dyDescent="0.2">
      <c r="A12" s="400" t="s">
        <v>1167</v>
      </c>
      <c r="B12" s="401"/>
      <c r="C12" s="401"/>
      <c r="D12" s="401"/>
      <c r="E12" s="401"/>
      <c r="F12" s="401"/>
      <c r="G12" s="324"/>
      <c r="H12" s="324"/>
      <c r="I12" s="320"/>
      <c r="J12" s="211"/>
      <c r="K12" s="211"/>
      <c r="L12" s="211"/>
      <c r="M12" s="267"/>
    </row>
    <row r="13" spans="1:13" ht="15.75" x14ac:dyDescent="0.2">
      <c r="A13" s="322"/>
      <c r="B13" s="323"/>
      <c r="C13" s="323"/>
      <c r="D13" s="323"/>
      <c r="E13" s="323"/>
      <c r="F13" s="323"/>
      <c r="G13" s="399"/>
      <c r="H13" s="399"/>
      <c r="I13" s="326"/>
      <c r="J13" s="211"/>
      <c r="K13" s="399" t="s">
        <v>1169</v>
      </c>
      <c r="L13" s="399"/>
      <c r="M13" s="325">
        <v>43983</v>
      </c>
    </row>
    <row r="14" spans="1:13" ht="16.5" customHeight="1" thickBot="1" x14ac:dyDescent="0.25">
      <c r="A14" s="405" t="s">
        <v>1166</v>
      </c>
      <c r="B14" s="406"/>
      <c r="C14" s="406"/>
      <c r="D14" s="406"/>
      <c r="E14" s="406"/>
      <c r="F14" s="406"/>
      <c r="G14" s="406"/>
      <c r="H14" s="406"/>
      <c r="I14" s="406"/>
      <c r="J14" s="406"/>
      <c r="K14" s="406"/>
      <c r="L14" s="406"/>
      <c r="M14" s="407"/>
    </row>
    <row r="15" spans="1:13" ht="27" thickTop="1" thickBot="1" x14ac:dyDescent="0.25">
      <c r="A15" s="268" t="s">
        <v>316</v>
      </c>
      <c r="B15" s="140" t="s">
        <v>0</v>
      </c>
      <c r="C15" s="140" t="s">
        <v>18</v>
      </c>
      <c r="D15" s="140" t="s">
        <v>19</v>
      </c>
      <c r="E15" s="140" t="s">
        <v>20</v>
      </c>
      <c r="F15" s="140" t="s">
        <v>21</v>
      </c>
      <c r="G15" s="140" t="s">
        <v>22</v>
      </c>
      <c r="H15" s="140" t="s">
        <v>23</v>
      </c>
      <c r="I15" s="140" t="s">
        <v>24</v>
      </c>
      <c r="J15" s="140" t="s">
        <v>25</v>
      </c>
      <c r="K15" s="140" t="s">
        <v>26</v>
      </c>
      <c r="L15" s="140" t="s">
        <v>27</v>
      </c>
      <c r="M15" s="269" t="s">
        <v>28</v>
      </c>
    </row>
    <row r="16" spans="1:13" ht="15" thickTop="1" x14ac:dyDescent="0.2">
      <c r="A16" s="270"/>
      <c r="B16" s="26" t="s">
        <v>2</v>
      </c>
      <c r="C16" s="27" t="s">
        <v>3</v>
      </c>
      <c r="D16" s="28"/>
      <c r="E16" s="28"/>
      <c r="F16" s="28"/>
      <c r="G16" s="28"/>
      <c r="H16" s="28"/>
      <c r="I16" s="28"/>
      <c r="J16" s="28"/>
      <c r="K16" s="28"/>
      <c r="L16" s="28"/>
      <c r="M16" s="271"/>
    </row>
    <row r="17" spans="1:13" ht="36" x14ac:dyDescent="0.2">
      <c r="A17" s="231" t="s">
        <v>29</v>
      </c>
      <c r="B17" s="9" t="s">
        <v>300</v>
      </c>
      <c r="C17" s="7" t="s">
        <v>265</v>
      </c>
      <c r="D17" s="17" t="s">
        <v>17</v>
      </c>
      <c r="E17" s="218"/>
      <c r="F17" s="218"/>
      <c r="G17" s="218"/>
      <c r="H17" s="218"/>
      <c r="I17" s="218"/>
      <c r="J17" s="218"/>
      <c r="K17" s="218"/>
      <c r="L17" s="218"/>
      <c r="M17" s="272">
        <f>SUM(M18)</f>
        <v>3</v>
      </c>
    </row>
    <row r="18" spans="1:13" x14ac:dyDescent="0.2">
      <c r="A18" s="231"/>
      <c r="B18" s="9"/>
      <c r="C18" s="7"/>
      <c r="D18" s="8"/>
      <c r="E18" s="218"/>
      <c r="F18" s="218">
        <v>2.5</v>
      </c>
      <c r="G18" s="218"/>
      <c r="H18" s="218">
        <v>1.2</v>
      </c>
      <c r="I18" s="218"/>
      <c r="J18" s="218">
        <f>F18*H18</f>
        <v>3</v>
      </c>
      <c r="K18" s="218"/>
      <c r="L18" s="218"/>
      <c r="M18" s="273">
        <f>F18*H18</f>
        <v>3</v>
      </c>
    </row>
    <row r="19" spans="1:13" x14ac:dyDescent="0.2">
      <c r="A19" s="231"/>
      <c r="B19" s="9"/>
      <c r="C19" s="7"/>
      <c r="D19" s="8"/>
      <c r="E19" s="218"/>
      <c r="F19" s="218"/>
      <c r="G19" s="218"/>
      <c r="H19" s="218"/>
      <c r="I19" s="218"/>
      <c r="J19" s="218"/>
      <c r="K19" s="218"/>
      <c r="L19" s="218"/>
      <c r="M19" s="273"/>
    </row>
    <row r="20" spans="1:13" ht="60" x14ac:dyDescent="0.2">
      <c r="A20" s="231" t="s">
        <v>30</v>
      </c>
      <c r="B20" s="9" t="s">
        <v>301</v>
      </c>
      <c r="C20" s="7" t="s">
        <v>266</v>
      </c>
      <c r="D20" s="17" t="s">
        <v>17</v>
      </c>
      <c r="E20" s="218"/>
      <c r="F20" s="218"/>
      <c r="G20" s="218"/>
      <c r="H20" s="218"/>
      <c r="I20" s="218"/>
      <c r="J20" s="218"/>
      <c r="K20" s="218"/>
      <c r="L20" s="218"/>
      <c r="M20" s="272">
        <f>SUM(M21)</f>
        <v>61</v>
      </c>
    </row>
    <row r="21" spans="1:13" x14ac:dyDescent="0.2">
      <c r="A21" s="231"/>
      <c r="B21" s="9"/>
      <c r="C21" s="7" t="s">
        <v>299</v>
      </c>
      <c r="D21" s="10"/>
      <c r="E21" s="218"/>
      <c r="F21" s="218"/>
      <c r="G21" s="218">
        <v>30.5</v>
      </c>
      <c r="H21" s="218"/>
      <c r="I21" s="218">
        <v>2</v>
      </c>
      <c r="J21" s="218"/>
      <c r="K21" s="218"/>
      <c r="L21" s="218"/>
      <c r="M21" s="273">
        <f>G21*I21</f>
        <v>61</v>
      </c>
    </row>
    <row r="22" spans="1:13" x14ac:dyDescent="0.2">
      <c r="A22" s="231"/>
      <c r="B22" s="9"/>
      <c r="C22" s="11"/>
      <c r="D22" s="10"/>
      <c r="E22" s="218"/>
      <c r="F22" s="218"/>
      <c r="G22" s="218"/>
      <c r="H22" s="218"/>
      <c r="I22" s="218"/>
      <c r="J22" s="218"/>
      <c r="K22" s="218"/>
      <c r="L22" s="218"/>
      <c r="M22" s="273"/>
    </row>
    <row r="23" spans="1:13" x14ac:dyDescent="0.2">
      <c r="A23" s="274"/>
      <c r="B23" s="29" t="s">
        <v>4</v>
      </c>
      <c r="C23" s="30" t="s">
        <v>5</v>
      </c>
      <c r="D23" s="31"/>
      <c r="E23" s="31"/>
      <c r="F23" s="31"/>
      <c r="G23" s="31"/>
      <c r="H23" s="31"/>
      <c r="I23" s="31"/>
      <c r="J23" s="31"/>
      <c r="K23" s="31"/>
      <c r="L23" s="31"/>
      <c r="M23" s="275"/>
    </row>
    <row r="24" spans="1:13" ht="24" x14ac:dyDescent="0.2">
      <c r="A24" s="235" t="s">
        <v>31</v>
      </c>
      <c r="B24" s="9" t="s">
        <v>302</v>
      </c>
      <c r="C24" s="7" t="s">
        <v>32</v>
      </c>
      <c r="D24" s="17" t="s">
        <v>17</v>
      </c>
      <c r="E24" s="218"/>
      <c r="F24" s="218"/>
      <c r="G24" s="218"/>
      <c r="H24" s="218"/>
      <c r="I24" s="218"/>
      <c r="J24" s="218"/>
      <c r="K24" s="218"/>
      <c r="L24" s="218"/>
      <c r="M24" s="272">
        <f>SUM(M26:M33)</f>
        <v>3.2921999999999998</v>
      </c>
    </row>
    <row r="25" spans="1:13" x14ac:dyDescent="0.2">
      <c r="A25" s="231"/>
      <c r="B25" s="9"/>
      <c r="C25" s="7" t="s">
        <v>150</v>
      </c>
      <c r="D25" s="8"/>
      <c r="E25" s="218"/>
      <c r="F25" s="218"/>
      <c r="G25" s="218"/>
      <c r="H25" s="218"/>
      <c r="I25" s="218"/>
      <c r="J25" s="218"/>
      <c r="K25" s="218"/>
      <c r="L25" s="218"/>
      <c r="M25" s="273"/>
    </row>
    <row r="26" spans="1:13" x14ac:dyDescent="0.2">
      <c r="A26" s="231"/>
      <c r="B26" s="9"/>
      <c r="C26" s="7" t="s">
        <v>153</v>
      </c>
      <c r="D26" s="8"/>
      <c r="E26" s="218">
        <v>2</v>
      </c>
      <c r="F26" s="218"/>
      <c r="G26" s="218">
        <v>19.850000000000001</v>
      </c>
      <c r="H26" s="218">
        <v>0.02</v>
      </c>
      <c r="I26" s="218">
        <v>2.2999999999999998</v>
      </c>
      <c r="J26" s="218"/>
      <c r="K26" s="218"/>
      <c r="L26" s="218"/>
      <c r="M26" s="273">
        <f>E26*G26*H26*I26</f>
        <v>1.8262</v>
      </c>
    </row>
    <row r="27" spans="1:13" x14ac:dyDescent="0.2">
      <c r="A27" s="231"/>
      <c r="B27" s="9"/>
      <c r="C27" s="7"/>
      <c r="D27" s="8"/>
      <c r="E27" s="218"/>
      <c r="F27" s="218"/>
      <c r="G27" s="218"/>
      <c r="H27" s="218"/>
      <c r="I27" s="218"/>
      <c r="J27" s="218"/>
      <c r="K27" s="218"/>
      <c r="L27" s="218"/>
      <c r="M27" s="273"/>
    </row>
    <row r="28" spans="1:13" x14ac:dyDescent="0.2">
      <c r="A28" s="231"/>
      <c r="B28" s="9"/>
      <c r="C28" s="7" t="s">
        <v>151</v>
      </c>
      <c r="D28" s="8"/>
      <c r="E28" s="218"/>
      <c r="F28" s="218"/>
      <c r="G28" s="218"/>
      <c r="H28" s="218"/>
      <c r="I28" s="218"/>
      <c r="J28" s="218"/>
      <c r="K28" s="218"/>
      <c r="L28" s="218"/>
      <c r="M28" s="273"/>
    </row>
    <row r="29" spans="1:13" x14ac:dyDescent="0.2">
      <c r="A29" s="231"/>
      <c r="B29" s="9"/>
      <c r="C29" s="7" t="s">
        <v>162</v>
      </c>
      <c r="D29" s="8"/>
      <c r="E29" s="218">
        <v>2</v>
      </c>
      <c r="F29" s="218"/>
      <c r="G29" s="218">
        <v>9.6999999999999993</v>
      </c>
      <c r="H29" s="218">
        <v>0.02</v>
      </c>
      <c r="I29" s="218">
        <v>2.4</v>
      </c>
      <c r="J29" s="218"/>
      <c r="K29" s="218"/>
      <c r="L29" s="218"/>
      <c r="M29" s="273">
        <f>E29*G29*H29*I29</f>
        <v>0.93119999999999981</v>
      </c>
    </row>
    <row r="30" spans="1:13" x14ac:dyDescent="0.2">
      <c r="A30" s="231"/>
      <c r="B30" s="9"/>
      <c r="C30" s="7"/>
      <c r="D30" s="8"/>
      <c r="E30" s="218">
        <v>2</v>
      </c>
      <c r="F30" s="218">
        <v>0.7</v>
      </c>
      <c r="G30" s="218"/>
      <c r="H30" s="218">
        <v>0.02</v>
      </c>
      <c r="I30" s="218">
        <v>2.1</v>
      </c>
      <c r="J30" s="218"/>
      <c r="K30" s="218"/>
      <c r="L30" s="218"/>
      <c r="M30" s="273">
        <f>E30*F30*H30*I30</f>
        <v>5.8799999999999998E-2</v>
      </c>
    </row>
    <row r="31" spans="1:13" x14ac:dyDescent="0.2">
      <c r="A31" s="231"/>
      <c r="B31" s="9"/>
      <c r="C31" s="7"/>
      <c r="D31" s="8"/>
      <c r="E31" s="218"/>
      <c r="F31" s="218"/>
      <c r="G31" s="218"/>
      <c r="H31" s="218"/>
      <c r="I31" s="218"/>
      <c r="J31" s="218"/>
      <c r="K31" s="218"/>
      <c r="L31" s="218"/>
      <c r="M31" s="273"/>
    </row>
    <row r="32" spans="1:13" x14ac:dyDescent="0.2">
      <c r="A32" s="231"/>
      <c r="B32" s="9"/>
      <c r="C32" s="7" t="s">
        <v>152</v>
      </c>
      <c r="D32" s="8"/>
      <c r="E32" s="218"/>
      <c r="F32" s="218"/>
      <c r="G32" s="218"/>
      <c r="H32" s="218"/>
      <c r="I32" s="218"/>
      <c r="J32" s="218"/>
      <c r="K32" s="218"/>
      <c r="L32" s="218"/>
      <c r="M32" s="273"/>
    </row>
    <row r="33" spans="1:13" x14ac:dyDescent="0.2">
      <c r="A33" s="231"/>
      <c r="B33" s="9"/>
      <c r="C33" s="7" t="s">
        <v>181</v>
      </c>
      <c r="D33" s="8"/>
      <c r="E33" s="218">
        <v>2</v>
      </c>
      <c r="F33" s="218"/>
      <c r="G33" s="218">
        <v>4.25</v>
      </c>
      <c r="H33" s="218">
        <v>0.02</v>
      </c>
      <c r="I33" s="218">
        <v>2.8</v>
      </c>
      <c r="J33" s="218"/>
      <c r="K33" s="218"/>
      <c r="L33" s="218"/>
      <c r="M33" s="273">
        <f>E33*G33*H33*I33</f>
        <v>0.47599999999999998</v>
      </c>
    </row>
    <row r="34" spans="1:13" x14ac:dyDescent="0.2">
      <c r="A34" s="231"/>
      <c r="B34" s="17"/>
      <c r="C34" s="7"/>
      <c r="D34" s="8"/>
      <c r="E34" s="218"/>
      <c r="F34" s="218"/>
      <c r="G34" s="218"/>
      <c r="H34" s="218"/>
      <c r="I34" s="218"/>
      <c r="J34" s="218"/>
      <c r="K34" s="218"/>
      <c r="L34" s="218"/>
      <c r="M34" s="273"/>
    </row>
    <row r="35" spans="1:13" ht="36" x14ac:dyDescent="0.2">
      <c r="A35" s="231" t="s">
        <v>33</v>
      </c>
      <c r="B35" s="9" t="s">
        <v>319</v>
      </c>
      <c r="C35" s="7" t="s">
        <v>267</v>
      </c>
      <c r="D35" s="17" t="s">
        <v>17</v>
      </c>
      <c r="E35" s="218"/>
      <c r="F35" s="218"/>
      <c r="G35" s="218"/>
      <c r="H35" s="218"/>
      <c r="I35" s="218"/>
      <c r="J35" s="218"/>
      <c r="K35" s="218"/>
      <c r="L35" s="218"/>
      <c r="M35" s="272">
        <f>SUM(M36,M39,M42)</f>
        <v>139.88</v>
      </c>
    </row>
    <row r="36" spans="1:13" x14ac:dyDescent="0.2">
      <c r="A36" s="231"/>
      <c r="B36" s="9"/>
      <c r="C36" s="7" t="s">
        <v>150</v>
      </c>
      <c r="D36" s="8"/>
      <c r="E36" s="218"/>
      <c r="F36" s="218"/>
      <c r="G36" s="218">
        <v>10</v>
      </c>
      <c r="H36" s="218"/>
      <c r="I36" s="218">
        <v>2.2999999999999998</v>
      </c>
      <c r="J36" s="218"/>
      <c r="K36" s="218"/>
      <c r="L36" s="218"/>
      <c r="M36" s="273">
        <f>G36*I36</f>
        <v>23</v>
      </c>
    </row>
    <row r="37" spans="1:13" x14ac:dyDescent="0.2">
      <c r="A37" s="231"/>
      <c r="B37" s="9"/>
      <c r="C37" s="7"/>
      <c r="D37" s="8"/>
      <c r="E37" s="218"/>
      <c r="F37" s="218"/>
      <c r="G37" s="218"/>
      <c r="H37" s="218"/>
      <c r="I37" s="218"/>
      <c r="J37" s="218"/>
      <c r="K37" s="218"/>
      <c r="L37" s="218"/>
      <c r="M37" s="273"/>
    </row>
    <row r="38" spans="1:13" x14ac:dyDescent="0.2">
      <c r="A38" s="231"/>
      <c r="B38" s="9"/>
      <c r="C38" s="7" t="s">
        <v>151</v>
      </c>
      <c r="D38" s="8"/>
      <c r="E38" s="218"/>
      <c r="F38" s="218"/>
      <c r="G38" s="218"/>
      <c r="H38" s="218"/>
      <c r="I38" s="218"/>
      <c r="J38" s="218"/>
      <c r="K38" s="218"/>
      <c r="L38" s="218"/>
      <c r="M38" s="273"/>
    </row>
    <row r="39" spans="1:13" ht="24" x14ac:dyDescent="0.2">
      <c r="A39" s="231" t="s">
        <v>154</v>
      </c>
      <c r="B39" s="9"/>
      <c r="C39" s="7" t="s">
        <v>193</v>
      </c>
      <c r="D39" s="8"/>
      <c r="E39" s="218"/>
      <c r="F39" s="218"/>
      <c r="G39" s="218">
        <v>17.2</v>
      </c>
      <c r="H39" s="218"/>
      <c r="I39" s="218">
        <v>2.4</v>
      </c>
      <c r="J39" s="218"/>
      <c r="K39" s="218"/>
      <c r="L39" s="218"/>
      <c r="M39" s="273">
        <f>G39*I39</f>
        <v>41.279999999999994</v>
      </c>
    </row>
    <row r="40" spans="1:13" x14ac:dyDescent="0.2">
      <c r="A40" s="231"/>
      <c r="B40" s="9"/>
      <c r="C40" s="7"/>
      <c r="D40" s="8"/>
      <c r="E40" s="218"/>
      <c r="F40" s="218"/>
      <c r="G40" s="218"/>
      <c r="H40" s="218"/>
      <c r="I40" s="218"/>
      <c r="J40" s="218"/>
      <c r="K40" s="218"/>
      <c r="L40" s="218"/>
      <c r="M40" s="273"/>
    </row>
    <row r="41" spans="1:13" x14ac:dyDescent="0.2">
      <c r="A41" s="231"/>
      <c r="B41" s="9"/>
      <c r="C41" s="7" t="s">
        <v>152</v>
      </c>
      <c r="D41" s="8"/>
      <c r="E41" s="218"/>
      <c r="F41" s="218"/>
      <c r="G41" s="218"/>
      <c r="H41" s="218"/>
      <c r="I41" s="218"/>
      <c r="J41" s="218"/>
      <c r="K41" s="218"/>
      <c r="L41" s="218"/>
      <c r="M41" s="273"/>
    </row>
    <row r="42" spans="1:13" ht="24" x14ac:dyDescent="0.2">
      <c r="A42" s="231"/>
      <c r="B42" s="9"/>
      <c r="C42" s="7" t="s">
        <v>194</v>
      </c>
      <c r="D42" s="8"/>
      <c r="E42" s="218"/>
      <c r="F42" s="218"/>
      <c r="G42" s="218">
        <v>27</v>
      </c>
      <c r="H42" s="218"/>
      <c r="I42" s="218">
        <v>2.8</v>
      </c>
      <c r="J42" s="218"/>
      <c r="K42" s="218"/>
      <c r="L42" s="218"/>
      <c r="M42" s="273">
        <f>G42*I42</f>
        <v>75.599999999999994</v>
      </c>
    </row>
    <row r="43" spans="1:13" x14ac:dyDescent="0.2">
      <c r="A43" s="231"/>
      <c r="B43" s="9"/>
      <c r="C43" s="7"/>
      <c r="D43" s="8"/>
      <c r="E43" s="218"/>
      <c r="F43" s="218"/>
      <c r="G43" s="218"/>
      <c r="H43" s="218"/>
      <c r="I43" s="218"/>
      <c r="J43" s="218"/>
      <c r="K43" s="218"/>
      <c r="L43" s="218"/>
      <c r="M43" s="273"/>
    </row>
    <row r="44" spans="1:13" ht="36" x14ac:dyDescent="0.2">
      <c r="A44" s="231" t="s">
        <v>34</v>
      </c>
      <c r="B44" s="9" t="s">
        <v>320</v>
      </c>
      <c r="C44" s="7" t="s">
        <v>268</v>
      </c>
      <c r="D44" s="17" t="s">
        <v>17</v>
      </c>
      <c r="E44" s="218"/>
      <c r="F44" s="218"/>
      <c r="G44" s="218"/>
      <c r="H44" s="218"/>
      <c r="I44" s="218"/>
      <c r="J44" s="218"/>
      <c r="K44" s="218"/>
      <c r="L44" s="218"/>
      <c r="M44" s="272">
        <f>SUM(M46,M49)</f>
        <v>104.23999999999998</v>
      </c>
    </row>
    <row r="45" spans="1:13" x14ac:dyDescent="0.2">
      <c r="A45" s="231"/>
      <c r="B45" s="9"/>
      <c r="C45" s="7" t="s">
        <v>151</v>
      </c>
      <c r="D45" s="8"/>
      <c r="E45" s="218"/>
      <c r="F45" s="218"/>
      <c r="G45" s="218"/>
      <c r="H45" s="218"/>
      <c r="I45" s="218"/>
      <c r="J45" s="218"/>
      <c r="K45" s="218"/>
      <c r="L45" s="218"/>
      <c r="M45" s="273"/>
    </row>
    <row r="46" spans="1:13" ht="24" x14ac:dyDescent="0.2">
      <c r="A46" s="231"/>
      <c r="B46" s="9"/>
      <c r="C46" s="7" t="s">
        <v>155</v>
      </c>
      <c r="D46" s="8"/>
      <c r="E46" s="218"/>
      <c r="F46" s="218"/>
      <c r="G46" s="218">
        <v>13.45</v>
      </c>
      <c r="H46" s="218"/>
      <c r="I46" s="218">
        <v>2.4</v>
      </c>
      <c r="J46" s="218"/>
      <c r="K46" s="218"/>
      <c r="L46" s="218"/>
      <c r="M46" s="273">
        <f>G46*I46</f>
        <v>32.279999999999994</v>
      </c>
    </row>
    <row r="47" spans="1:13" x14ac:dyDescent="0.2">
      <c r="A47" s="231"/>
      <c r="B47" s="9"/>
      <c r="C47" s="7"/>
      <c r="D47" s="8"/>
      <c r="E47" s="218"/>
      <c r="F47" s="218"/>
      <c r="G47" s="218"/>
      <c r="H47" s="218"/>
      <c r="I47" s="218"/>
      <c r="J47" s="218"/>
      <c r="K47" s="218"/>
      <c r="L47" s="218"/>
      <c r="M47" s="273"/>
    </row>
    <row r="48" spans="1:13" x14ac:dyDescent="0.2">
      <c r="A48" s="231"/>
      <c r="B48" s="9"/>
      <c r="C48" s="7" t="s">
        <v>152</v>
      </c>
      <c r="D48" s="8"/>
      <c r="E48" s="218"/>
      <c r="F48" s="218"/>
      <c r="G48" s="218"/>
      <c r="H48" s="218"/>
      <c r="I48" s="218"/>
      <c r="J48" s="218"/>
      <c r="K48" s="218"/>
      <c r="L48" s="218"/>
      <c r="M48" s="273"/>
    </row>
    <row r="49" spans="1:13" ht="24" x14ac:dyDescent="0.2">
      <c r="A49" s="231"/>
      <c r="B49" s="9"/>
      <c r="C49" s="7" t="s">
        <v>176</v>
      </c>
      <c r="D49" s="8"/>
      <c r="E49" s="218"/>
      <c r="F49" s="218"/>
      <c r="G49" s="218">
        <v>25.7</v>
      </c>
      <c r="H49" s="218"/>
      <c r="I49" s="218">
        <v>2.8</v>
      </c>
      <c r="J49" s="218"/>
      <c r="K49" s="218"/>
      <c r="L49" s="218"/>
      <c r="M49" s="273">
        <f>G49*I49</f>
        <v>71.959999999999994</v>
      </c>
    </row>
    <row r="50" spans="1:13" x14ac:dyDescent="0.2">
      <c r="A50" s="231"/>
      <c r="B50" s="9"/>
      <c r="C50" s="7"/>
      <c r="D50" s="8"/>
      <c r="E50" s="218"/>
      <c r="F50" s="218"/>
      <c r="G50" s="218"/>
      <c r="H50" s="218"/>
      <c r="I50" s="218"/>
      <c r="J50" s="218"/>
      <c r="K50" s="218"/>
      <c r="L50" s="218"/>
      <c r="M50" s="273"/>
    </row>
    <row r="51" spans="1:13" ht="36" x14ac:dyDescent="0.2">
      <c r="A51" s="231" t="s">
        <v>35</v>
      </c>
      <c r="B51" s="9" t="s">
        <v>321</v>
      </c>
      <c r="C51" s="7" t="s">
        <v>269</v>
      </c>
      <c r="D51" s="17" t="s">
        <v>17</v>
      </c>
      <c r="E51" s="218"/>
      <c r="F51" s="218"/>
      <c r="G51" s="218"/>
      <c r="H51" s="218"/>
      <c r="I51" s="218"/>
      <c r="J51" s="218"/>
      <c r="K51" s="218"/>
      <c r="L51" s="218"/>
      <c r="M51" s="272">
        <f>SUM(M53:M66)</f>
        <v>108.54999999999998</v>
      </c>
    </row>
    <row r="52" spans="1:13" x14ac:dyDescent="0.2">
      <c r="A52" s="231"/>
      <c r="B52" s="9"/>
      <c r="C52" s="7" t="s">
        <v>156</v>
      </c>
      <c r="D52" s="8"/>
      <c r="E52" s="218"/>
      <c r="F52" s="218"/>
      <c r="G52" s="218"/>
      <c r="H52" s="218"/>
      <c r="I52" s="218"/>
      <c r="J52" s="218"/>
      <c r="K52" s="218"/>
      <c r="L52" s="218"/>
      <c r="M52" s="273"/>
    </row>
    <row r="53" spans="1:13" x14ac:dyDescent="0.2">
      <c r="A53" s="231"/>
      <c r="B53" s="9"/>
      <c r="C53" s="7" t="s">
        <v>158</v>
      </c>
      <c r="D53" s="8"/>
      <c r="E53" s="218"/>
      <c r="F53" s="218"/>
      <c r="G53" s="218"/>
      <c r="H53" s="218"/>
      <c r="I53" s="218"/>
      <c r="J53" s="218">
        <v>21.35</v>
      </c>
      <c r="K53" s="218"/>
      <c r="L53" s="218"/>
      <c r="M53" s="273">
        <f>J53</f>
        <v>21.35</v>
      </c>
    </row>
    <row r="54" spans="1:13" x14ac:dyDescent="0.2">
      <c r="A54" s="231"/>
      <c r="B54" s="9"/>
      <c r="C54" s="7" t="s">
        <v>159</v>
      </c>
      <c r="D54" s="8"/>
      <c r="E54" s="218"/>
      <c r="F54" s="218"/>
      <c r="G54" s="218"/>
      <c r="H54" s="218"/>
      <c r="I54" s="218"/>
      <c r="J54" s="218">
        <v>20.11</v>
      </c>
      <c r="K54" s="218"/>
      <c r="L54" s="218"/>
      <c r="M54" s="273">
        <f>J54</f>
        <v>20.11</v>
      </c>
    </row>
    <row r="55" spans="1:13" x14ac:dyDescent="0.2">
      <c r="A55" s="231"/>
      <c r="B55" s="9"/>
      <c r="C55" s="7" t="s">
        <v>160</v>
      </c>
      <c r="D55" s="8"/>
      <c r="E55" s="218"/>
      <c r="F55" s="218"/>
      <c r="G55" s="218"/>
      <c r="H55" s="218"/>
      <c r="I55" s="218"/>
      <c r="J55" s="218">
        <v>3.79</v>
      </c>
      <c r="K55" s="218"/>
      <c r="L55" s="218"/>
      <c r="M55" s="273">
        <f>J55</f>
        <v>3.79</v>
      </c>
    </row>
    <row r="56" spans="1:13" x14ac:dyDescent="0.2">
      <c r="A56" s="231"/>
      <c r="B56" s="9"/>
      <c r="C56" s="7" t="s">
        <v>161</v>
      </c>
      <c r="D56" s="8"/>
      <c r="E56" s="218"/>
      <c r="F56" s="218"/>
      <c r="G56" s="218"/>
      <c r="H56" s="218"/>
      <c r="I56" s="218"/>
      <c r="J56" s="218">
        <v>5.72</v>
      </c>
      <c r="K56" s="218"/>
      <c r="L56" s="218"/>
      <c r="M56" s="273">
        <f>J56</f>
        <v>5.72</v>
      </c>
    </row>
    <row r="57" spans="1:13" x14ac:dyDescent="0.2">
      <c r="A57" s="231"/>
      <c r="B57" s="9"/>
      <c r="C57" s="7"/>
      <c r="D57" s="8"/>
      <c r="E57" s="218"/>
      <c r="F57" s="218"/>
      <c r="G57" s="218"/>
      <c r="H57" s="218"/>
      <c r="I57" s="218"/>
      <c r="J57" s="218"/>
      <c r="K57" s="218"/>
      <c r="L57" s="218"/>
      <c r="M57" s="273"/>
    </row>
    <row r="58" spans="1:13" x14ac:dyDescent="0.2">
      <c r="A58" s="231"/>
      <c r="B58" s="9"/>
      <c r="C58" s="7" t="s">
        <v>168</v>
      </c>
      <c r="D58" s="8"/>
      <c r="E58" s="218"/>
      <c r="F58" s="218"/>
      <c r="G58" s="218"/>
      <c r="H58" s="218"/>
      <c r="I58" s="218"/>
      <c r="J58" s="218"/>
      <c r="K58" s="218"/>
      <c r="L58" s="218"/>
      <c r="M58" s="273"/>
    </row>
    <row r="59" spans="1:13" x14ac:dyDescent="0.2">
      <c r="A59" s="231"/>
      <c r="B59" s="9"/>
      <c r="C59" s="7" t="s">
        <v>163</v>
      </c>
      <c r="D59" s="8"/>
      <c r="E59" s="218"/>
      <c r="F59" s="218"/>
      <c r="G59" s="218"/>
      <c r="H59" s="218"/>
      <c r="I59" s="218"/>
      <c r="J59" s="218">
        <v>15.77</v>
      </c>
      <c r="K59" s="218"/>
      <c r="L59" s="218"/>
      <c r="M59" s="273">
        <f>J59</f>
        <v>15.77</v>
      </c>
    </row>
    <row r="60" spans="1:13" x14ac:dyDescent="0.2">
      <c r="A60" s="231"/>
      <c r="B60" s="9"/>
      <c r="C60" s="7" t="s">
        <v>164</v>
      </c>
      <c r="D60" s="8"/>
      <c r="E60" s="218"/>
      <c r="F60" s="218"/>
      <c r="G60" s="218"/>
      <c r="H60" s="218"/>
      <c r="I60" s="218"/>
      <c r="J60" s="218">
        <v>17.13</v>
      </c>
      <c r="K60" s="218"/>
      <c r="L60" s="218"/>
      <c r="M60" s="273">
        <f>J60</f>
        <v>17.13</v>
      </c>
    </row>
    <row r="61" spans="1:13" x14ac:dyDescent="0.2">
      <c r="A61" s="231"/>
      <c r="B61" s="9"/>
      <c r="C61" s="7"/>
      <c r="D61" s="8"/>
      <c r="E61" s="218"/>
      <c r="F61" s="218"/>
      <c r="G61" s="218"/>
      <c r="H61" s="218"/>
      <c r="I61" s="218"/>
      <c r="J61" s="218"/>
      <c r="K61" s="218"/>
      <c r="L61" s="218"/>
      <c r="M61" s="273"/>
    </row>
    <row r="62" spans="1:13" x14ac:dyDescent="0.2">
      <c r="A62" s="231"/>
      <c r="B62" s="9"/>
      <c r="C62" s="7" t="s">
        <v>157</v>
      </c>
      <c r="D62" s="8"/>
      <c r="E62" s="218"/>
      <c r="F62" s="218"/>
      <c r="G62" s="218"/>
      <c r="H62" s="218"/>
      <c r="I62" s="218"/>
      <c r="J62" s="218"/>
      <c r="K62" s="218"/>
      <c r="L62" s="218"/>
      <c r="M62" s="273"/>
    </row>
    <row r="63" spans="1:13" x14ac:dyDescent="0.2">
      <c r="A63" s="231"/>
      <c r="B63" s="9"/>
      <c r="C63" s="7" t="s">
        <v>167</v>
      </c>
      <c r="D63" s="8"/>
      <c r="E63" s="218"/>
      <c r="F63" s="218"/>
      <c r="G63" s="218"/>
      <c r="H63" s="218"/>
      <c r="I63" s="218"/>
      <c r="J63" s="218">
        <v>2.34</v>
      </c>
      <c r="K63" s="218"/>
      <c r="L63" s="218"/>
      <c r="M63" s="273">
        <f>J63</f>
        <v>2.34</v>
      </c>
    </row>
    <row r="64" spans="1:13" x14ac:dyDescent="0.2">
      <c r="A64" s="231"/>
      <c r="B64" s="9"/>
      <c r="C64" s="7" t="s">
        <v>166</v>
      </c>
      <c r="D64" s="8"/>
      <c r="E64" s="218"/>
      <c r="F64" s="218"/>
      <c r="G64" s="218"/>
      <c r="H64" s="218"/>
      <c r="I64" s="218"/>
      <c r="J64" s="218">
        <v>8.56</v>
      </c>
      <c r="K64" s="218"/>
      <c r="L64" s="218"/>
      <c r="M64" s="273">
        <f>J64</f>
        <v>8.56</v>
      </c>
    </row>
    <row r="65" spans="1:13" x14ac:dyDescent="0.2">
      <c r="A65" s="231"/>
      <c r="B65" s="9"/>
      <c r="C65" s="7" t="s">
        <v>165</v>
      </c>
      <c r="D65" s="8"/>
      <c r="E65" s="218"/>
      <c r="F65" s="218"/>
      <c r="G65" s="218"/>
      <c r="H65" s="218"/>
      <c r="I65" s="218"/>
      <c r="J65" s="218">
        <v>3.24</v>
      </c>
      <c r="K65" s="218"/>
      <c r="L65" s="218"/>
      <c r="M65" s="273">
        <f>J65</f>
        <v>3.24</v>
      </c>
    </row>
    <row r="66" spans="1:13" x14ac:dyDescent="0.2">
      <c r="A66" s="231"/>
      <c r="B66" s="9"/>
      <c r="C66" s="7" t="s">
        <v>175</v>
      </c>
      <c r="D66" s="8">
        <v>2</v>
      </c>
      <c r="E66" s="218"/>
      <c r="F66" s="218"/>
      <c r="G66" s="218"/>
      <c r="H66" s="218"/>
      <c r="I66" s="218"/>
      <c r="J66" s="218">
        <v>5.27</v>
      </c>
      <c r="K66" s="218"/>
      <c r="L66" s="218"/>
      <c r="M66" s="273">
        <f>D66*J66</f>
        <v>10.54</v>
      </c>
    </row>
    <row r="67" spans="1:13" x14ac:dyDescent="0.2">
      <c r="A67" s="231"/>
      <c r="B67" s="9"/>
      <c r="C67" s="7"/>
      <c r="D67" s="8"/>
      <c r="E67" s="218"/>
      <c r="F67" s="218"/>
      <c r="G67" s="218"/>
      <c r="H67" s="218"/>
      <c r="I67" s="218"/>
      <c r="J67" s="218"/>
      <c r="K67" s="218"/>
      <c r="L67" s="218"/>
      <c r="M67" s="273"/>
    </row>
    <row r="68" spans="1:13" ht="48" x14ac:dyDescent="0.2">
      <c r="A68" s="231" t="s">
        <v>36</v>
      </c>
      <c r="B68" s="9" t="s">
        <v>322</v>
      </c>
      <c r="C68" s="7" t="s">
        <v>270</v>
      </c>
      <c r="D68" s="17" t="s">
        <v>17</v>
      </c>
      <c r="E68" s="218"/>
      <c r="F68" s="218"/>
      <c r="G68" s="218"/>
      <c r="H68" s="218"/>
      <c r="I68" s="218"/>
      <c r="J68" s="218"/>
      <c r="K68" s="218"/>
      <c r="L68" s="218"/>
      <c r="M68" s="272">
        <f>SUM(M70:M74)</f>
        <v>6.1999999999999993</v>
      </c>
    </row>
    <row r="69" spans="1:13" x14ac:dyDescent="0.2">
      <c r="A69" s="231"/>
      <c r="B69" s="9"/>
      <c r="C69" s="7" t="s">
        <v>151</v>
      </c>
      <c r="D69" s="8"/>
      <c r="E69" s="218"/>
      <c r="F69" s="218"/>
      <c r="G69" s="218"/>
      <c r="H69" s="218"/>
      <c r="I69" s="218"/>
      <c r="J69" s="218"/>
      <c r="K69" s="218"/>
      <c r="L69" s="218"/>
      <c r="M69" s="273"/>
    </row>
    <row r="70" spans="1:13" x14ac:dyDescent="0.2">
      <c r="A70" s="231"/>
      <c r="B70" s="9"/>
      <c r="C70" s="7" t="s">
        <v>170</v>
      </c>
      <c r="D70" s="8"/>
      <c r="E70" s="218">
        <v>3</v>
      </c>
      <c r="F70" s="218">
        <v>0.6</v>
      </c>
      <c r="G70" s="218"/>
      <c r="H70" s="218"/>
      <c r="I70" s="218"/>
      <c r="J70" s="218"/>
      <c r="K70" s="218"/>
      <c r="L70" s="218"/>
      <c r="M70" s="273">
        <f>E70*F70</f>
        <v>1.7999999999999998</v>
      </c>
    </row>
    <row r="71" spans="1:13" x14ac:dyDescent="0.2">
      <c r="A71" s="231"/>
      <c r="B71" s="9"/>
      <c r="C71" s="7" t="s">
        <v>169</v>
      </c>
      <c r="D71" s="8"/>
      <c r="E71" s="218">
        <v>1</v>
      </c>
      <c r="F71" s="218">
        <v>3</v>
      </c>
      <c r="G71" s="218"/>
      <c r="H71" s="218"/>
      <c r="I71" s="218"/>
      <c r="J71" s="218"/>
      <c r="K71" s="218"/>
      <c r="L71" s="218"/>
      <c r="M71" s="273">
        <f>E71*F71</f>
        <v>3</v>
      </c>
    </row>
    <row r="72" spans="1:13" x14ac:dyDescent="0.2">
      <c r="A72" s="231"/>
      <c r="B72" s="9"/>
      <c r="C72" s="7" t="s">
        <v>152</v>
      </c>
      <c r="D72" s="8"/>
      <c r="E72" s="218"/>
      <c r="F72" s="218"/>
      <c r="G72" s="218"/>
      <c r="H72" s="218"/>
      <c r="I72" s="218"/>
      <c r="J72" s="218"/>
      <c r="K72" s="218"/>
      <c r="L72" s="218"/>
      <c r="M72" s="273"/>
    </row>
    <row r="73" spans="1:13" x14ac:dyDescent="0.2">
      <c r="A73" s="231"/>
      <c r="B73" s="9"/>
      <c r="C73" s="7" t="s">
        <v>167</v>
      </c>
      <c r="D73" s="10"/>
      <c r="E73" s="218">
        <v>1</v>
      </c>
      <c r="F73" s="218">
        <v>0.6</v>
      </c>
      <c r="G73" s="218"/>
      <c r="H73" s="218"/>
      <c r="I73" s="218"/>
      <c r="J73" s="218"/>
      <c r="K73" s="218"/>
      <c r="L73" s="218"/>
      <c r="M73" s="273">
        <f>E73*F73</f>
        <v>0.6</v>
      </c>
    </row>
    <row r="74" spans="1:13" x14ac:dyDescent="0.2">
      <c r="A74" s="231"/>
      <c r="B74" s="9"/>
      <c r="C74" s="7" t="s">
        <v>171</v>
      </c>
      <c r="D74" s="8"/>
      <c r="E74" s="218">
        <v>1</v>
      </c>
      <c r="F74" s="218">
        <v>0.8</v>
      </c>
      <c r="G74" s="218"/>
      <c r="H74" s="218"/>
      <c r="I74" s="218"/>
      <c r="J74" s="218"/>
      <c r="K74" s="218"/>
      <c r="L74" s="218"/>
      <c r="M74" s="273">
        <f>E74*F74</f>
        <v>0.8</v>
      </c>
    </row>
    <row r="75" spans="1:13" x14ac:dyDescent="0.2">
      <c r="A75" s="231"/>
      <c r="B75" s="9"/>
      <c r="C75" s="7"/>
      <c r="D75" s="8"/>
      <c r="E75" s="218"/>
      <c r="F75" s="218"/>
      <c r="G75" s="218"/>
      <c r="H75" s="218"/>
      <c r="I75" s="218"/>
      <c r="J75" s="218"/>
      <c r="K75" s="218"/>
      <c r="L75" s="218"/>
      <c r="M75" s="273"/>
    </row>
    <row r="76" spans="1:13" ht="24" x14ac:dyDescent="0.2">
      <c r="A76" s="231" t="s">
        <v>37</v>
      </c>
      <c r="B76" s="9" t="s">
        <v>323</v>
      </c>
      <c r="C76" s="7" t="s">
        <v>271</v>
      </c>
      <c r="D76" s="17" t="s">
        <v>38</v>
      </c>
      <c r="E76" s="218"/>
      <c r="F76" s="218"/>
      <c r="G76" s="218"/>
      <c r="H76" s="218"/>
      <c r="I76" s="218"/>
      <c r="J76" s="218"/>
      <c r="K76" s="218"/>
      <c r="L76" s="218"/>
      <c r="M76" s="272">
        <f>SUM(M78,M81,M82,M85)</f>
        <v>9.5534999999999997</v>
      </c>
    </row>
    <row r="77" spans="1:13" x14ac:dyDescent="0.2">
      <c r="A77" s="236"/>
      <c r="B77" s="344"/>
      <c r="C77" s="345" t="s">
        <v>150</v>
      </c>
      <c r="D77" s="346"/>
      <c r="E77" s="347"/>
      <c r="F77" s="347"/>
      <c r="G77" s="347"/>
      <c r="H77" s="347"/>
      <c r="I77" s="347"/>
      <c r="J77" s="347"/>
      <c r="K77" s="347"/>
      <c r="L77" s="347"/>
      <c r="M77" s="342"/>
    </row>
    <row r="78" spans="1:13" x14ac:dyDescent="0.2">
      <c r="A78" s="231"/>
      <c r="B78" s="9"/>
      <c r="C78" s="7" t="s">
        <v>153</v>
      </c>
      <c r="D78" s="8"/>
      <c r="E78" s="218"/>
      <c r="F78" s="218"/>
      <c r="G78" s="218">
        <v>19.850000000000001</v>
      </c>
      <c r="H78" s="218">
        <v>0.1</v>
      </c>
      <c r="I78" s="218">
        <v>2.2999999999999998</v>
      </c>
      <c r="J78" s="218"/>
      <c r="K78" s="218"/>
      <c r="L78" s="218"/>
      <c r="M78" s="273">
        <f>G78*H78*I78</f>
        <v>4.5655000000000001</v>
      </c>
    </row>
    <row r="79" spans="1:13" x14ac:dyDescent="0.2">
      <c r="A79" s="231"/>
      <c r="B79" s="9"/>
      <c r="C79" s="7"/>
      <c r="D79" s="8"/>
      <c r="E79" s="218"/>
      <c r="F79" s="218"/>
      <c r="G79" s="218"/>
      <c r="H79" s="218"/>
      <c r="I79" s="218"/>
      <c r="J79" s="218"/>
      <c r="K79" s="218"/>
      <c r="L79" s="218"/>
      <c r="M79" s="273"/>
    </row>
    <row r="80" spans="1:13" x14ac:dyDescent="0.2">
      <c r="A80" s="231"/>
      <c r="B80" s="9"/>
      <c r="C80" s="7" t="s">
        <v>151</v>
      </c>
      <c r="D80" s="8"/>
      <c r="E80" s="218"/>
      <c r="F80" s="218"/>
      <c r="G80" s="218"/>
      <c r="H80" s="218"/>
      <c r="I80" s="218"/>
      <c r="J80" s="218"/>
      <c r="K80" s="218"/>
      <c r="L80" s="218"/>
      <c r="M80" s="273"/>
    </row>
    <row r="81" spans="1:13" x14ac:dyDescent="0.2">
      <c r="A81" s="231"/>
      <c r="B81" s="9"/>
      <c r="C81" s="7" t="s">
        <v>162</v>
      </c>
      <c r="D81" s="8"/>
      <c r="E81" s="218"/>
      <c r="F81" s="218"/>
      <c r="G81" s="218">
        <v>9.6999999999999993</v>
      </c>
      <c r="H81" s="218">
        <v>0.1</v>
      </c>
      <c r="I81" s="218">
        <v>2.4</v>
      </c>
      <c r="J81" s="218"/>
      <c r="K81" s="218"/>
      <c r="L81" s="218"/>
      <c r="M81" s="273">
        <f>G81*H81*I81</f>
        <v>2.3279999999999998</v>
      </c>
    </row>
    <row r="82" spans="1:13" x14ac:dyDescent="0.2">
      <c r="A82" s="231"/>
      <c r="B82" s="9"/>
      <c r="C82" s="7"/>
      <c r="D82" s="8"/>
      <c r="E82" s="218"/>
      <c r="F82" s="218">
        <v>0.7</v>
      </c>
      <c r="G82" s="218"/>
      <c r="H82" s="218"/>
      <c r="I82" s="218">
        <v>2.1</v>
      </c>
      <c r="J82" s="218"/>
      <c r="K82" s="218"/>
      <c r="L82" s="218"/>
      <c r="M82" s="273">
        <f>F82*I82</f>
        <v>1.47</v>
      </c>
    </row>
    <row r="83" spans="1:13" x14ac:dyDescent="0.2">
      <c r="A83" s="231"/>
      <c r="B83" s="9"/>
      <c r="C83" s="7"/>
      <c r="D83" s="8"/>
      <c r="E83" s="218"/>
      <c r="F83" s="218"/>
      <c r="G83" s="218"/>
      <c r="H83" s="218"/>
      <c r="I83" s="218"/>
      <c r="J83" s="218"/>
      <c r="K83" s="218"/>
      <c r="L83" s="218"/>
      <c r="M83" s="273"/>
    </row>
    <row r="84" spans="1:13" x14ac:dyDescent="0.2">
      <c r="A84" s="231"/>
      <c r="B84" s="9"/>
      <c r="C84" s="7" t="s">
        <v>152</v>
      </c>
      <c r="D84" s="8"/>
      <c r="E84" s="218"/>
      <c r="F84" s="218"/>
      <c r="G84" s="218"/>
      <c r="H84" s="218"/>
      <c r="I84" s="218"/>
      <c r="J84" s="218"/>
      <c r="K84" s="218"/>
      <c r="L84" s="218"/>
      <c r="M84" s="273"/>
    </row>
    <row r="85" spans="1:13" x14ac:dyDescent="0.2">
      <c r="A85" s="231"/>
      <c r="B85" s="9"/>
      <c r="C85" s="7" t="s">
        <v>181</v>
      </c>
      <c r="D85" s="8"/>
      <c r="E85" s="218"/>
      <c r="F85" s="218"/>
      <c r="G85" s="218">
        <v>4.25</v>
      </c>
      <c r="H85" s="218">
        <v>0.1</v>
      </c>
      <c r="I85" s="218">
        <v>2.8</v>
      </c>
      <c r="J85" s="218"/>
      <c r="K85" s="218"/>
      <c r="L85" s="218"/>
      <c r="M85" s="273">
        <f>G85*H85*I85</f>
        <v>1.19</v>
      </c>
    </row>
    <row r="86" spans="1:13" x14ac:dyDescent="0.2">
      <c r="A86" s="231"/>
      <c r="B86" s="9"/>
      <c r="C86" s="7"/>
      <c r="D86" s="8"/>
      <c r="E86" s="218"/>
      <c r="F86" s="218"/>
      <c r="G86" s="218"/>
      <c r="H86" s="218"/>
      <c r="I86" s="218"/>
      <c r="J86" s="218"/>
      <c r="K86" s="218"/>
      <c r="L86" s="218"/>
      <c r="M86" s="273"/>
    </row>
    <row r="87" spans="1:13" ht="36" x14ac:dyDescent="0.2">
      <c r="A87" s="231" t="s">
        <v>56</v>
      </c>
      <c r="B87" s="9" t="s">
        <v>324</v>
      </c>
      <c r="C87" s="7" t="s">
        <v>57</v>
      </c>
      <c r="D87" s="17" t="s">
        <v>58</v>
      </c>
      <c r="E87" s="218"/>
      <c r="F87" s="218"/>
      <c r="G87" s="218"/>
      <c r="H87" s="218"/>
      <c r="I87" s="218"/>
      <c r="J87" s="218"/>
      <c r="K87" s="218"/>
      <c r="L87" s="218"/>
      <c r="M87" s="272">
        <f>SUM(M88)</f>
        <v>444.27599999999995</v>
      </c>
    </row>
    <row r="88" spans="1:13" x14ac:dyDescent="0.2">
      <c r="A88" s="231"/>
      <c r="B88" s="9"/>
      <c r="C88" s="7" t="s">
        <v>174</v>
      </c>
      <c r="D88" s="8"/>
      <c r="E88" s="218"/>
      <c r="F88" s="218">
        <v>9.0299999999999994</v>
      </c>
      <c r="G88" s="218"/>
      <c r="H88" s="218">
        <v>4.92</v>
      </c>
      <c r="I88" s="218"/>
      <c r="J88" s="218"/>
      <c r="K88" s="218">
        <v>10</v>
      </c>
      <c r="L88" s="218"/>
      <c r="M88" s="273">
        <f>F88*H88*K88</f>
        <v>444.27599999999995</v>
      </c>
    </row>
    <row r="89" spans="1:13" x14ac:dyDescent="0.2">
      <c r="A89" s="231"/>
      <c r="B89" s="9"/>
      <c r="C89" s="7"/>
      <c r="D89" s="8"/>
      <c r="E89" s="218"/>
      <c r="F89" s="218"/>
      <c r="G89" s="218"/>
      <c r="H89" s="218"/>
      <c r="I89" s="218"/>
      <c r="J89" s="218"/>
      <c r="K89" s="218"/>
      <c r="L89" s="218"/>
      <c r="M89" s="273"/>
    </row>
    <row r="90" spans="1:13" ht="48" x14ac:dyDescent="0.2">
      <c r="A90" s="231" t="s">
        <v>71</v>
      </c>
      <c r="B90" s="9" t="s">
        <v>325</v>
      </c>
      <c r="C90" s="7" t="s">
        <v>272</v>
      </c>
      <c r="D90" s="17" t="s">
        <v>38</v>
      </c>
      <c r="E90" s="218"/>
      <c r="F90" s="218"/>
      <c r="G90" s="218"/>
      <c r="H90" s="218"/>
      <c r="I90" s="218"/>
      <c r="J90" s="218"/>
      <c r="K90" s="218"/>
      <c r="L90" s="218"/>
      <c r="M90" s="272">
        <f>SUM(M91)</f>
        <v>0.50273999999999996</v>
      </c>
    </row>
    <row r="91" spans="1:13" x14ac:dyDescent="0.2">
      <c r="A91" s="231"/>
      <c r="B91" s="9"/>
      <c r="C91" s="7" t="s">
        <v>151</v>
      </c>
      <c r="D91" s="8"/>
      <c r="E91" s="218"/>
      <c r="F91" s="218">
        <v>1.96</v>
      </c>
      <c r="G91" s="218"/>
      <c r="H91" s="218">
        <v>1.71</v>
      </c>
      <c r="I91" s="218">
        <v>0.15</v>
      </c>
      <c r="J91" s="218"/>
      <c r="K91" s="218"/>
      <c r="L91" s="218"/>
      <c r="M91" s="273">
        <f>F91*H91*I91</f>
        <v>0.50273999999999996</v>
      </c>
    </row>
    <row r="92" spans="1:13" x14ac:dyDescent="0.2">
      <c r="A92" s="231"/>
      <c r="B92" s="9"/>
      <c r="C92" s="7"/>
      <c r="D92" s="8"/>
      <c r="E92" s="218"/>
      <c r="F92" s="218"/>
      <c r="G92" s="218"/>
      <c r="H92" s="218"/>
      <c r="I92" s="218"/>
      <c r="J92" s="218"/>
      <c r="K92" s="218"/>
      <c r="L92" s="218"/>
      <c r="M92" s="273"/>
    </row>
    <row r="93" spans="1:13" ht="24" x14ac:dyDescent="0.2">
      <c r="A93" s="231" t="s">
        <v>39</v>
      </c>
      <c r="B93" s="9" t="s">
        <v>326</v>
      </c>
      <c r="C93" s="7" t="s">
        <v>40</v>
      </c>
      <c r="D93" s="17" t="s">
        <v>17</v>
      </c>
      <c r="E93" s="218"/>
      <c r="F93" s="218"/>
      <c r="G93" s="218"/>
      <c r="H93" s="218"/>
      <c r="I93" s="218"/>
      <c r="J93" s="218"/>
      <c r="K93" s="218"/>
      <c r="L93" s="218"/>
      <c r="M93" s="272">
        <f>SUM(M95:M147)</f>
        <v>347.23700000000002</v>
      </c>
    </row>
    <row r="94" spans="1:13" x14ac:dyDescent="0.2">
      <c r="A94" s="231"/>
      <c r="B94" s="9"/>
      <c r="C94" s="7" t="s">
        <v>150</v>
      </c>
      <c r="D94" s="8"/>
      <c r="E94" s="218"/>
      <c r="F94" s="218"/>
      <c r="G94" s="218"/>
      <c r="H94" s="218"/>
      <c r="I94" s="218"/>
      <c r="J94" s="10"/>
      <c r="K94" s="218"/>
      <c r="L94" s="218"/>
      <c r="M94" s="273"/>
    </row>
    <row r="95" spans="1:13" x14ac:dyDescent="0.2">
      <c r="A95" s="231"/>
      <c r="B95" s="9"/>
      <c r="C95" s="7" t="s">
        <v>195</v>
      </c>
      <c r="D95" s="8"/>
      <c r="E95" s="218"/>
      <c r="F95" s="218"/>
      <c r="G95" s="218"/>
      <c r="H95" s="218"/>
      <c r="I95" s="218"/>
      <c r="J95" s="218">
        <v>71.63</v>
      </c>
      <c r="K95" s="218"/>
      <c r="L95" s="218"/>
      <c r="M95" s="273">
        <f>J95</f>
        <v>71.63</v>
      </c>
    </row>
    <row r="96" spans="1:13" x14ac:dyDescent="0.2">
      <c r="A96" s="231"/>
      <c r="B96" s="9"/>
      <c r="C96" s="7" t="s">
        <v>196</v>
      </c>
      <c r="D96" s="8"/>
      <c r="E96" s="218"/>
      <c r="F96" s="218"/>
      <c r="G96" s="218"/>
      <c r="H96" s="218"/>
      <c r="I96" s="218"/>
      <c r="J96" s="218">
        <v>16.55</v>
      </c>
      <c r="K96" s="218"/>
      <c r="L96" s="218"/>
      <c r="M96" s="273">
        <f>J96</f>
        <v>16.55</v>
      </c>
    </row>
    <row r="97" spans="1:13" x14ac:dyDescent="0.2">
      <c r="A97" s="231"/>
      <c r="B97" s="9"/>
      <c r="C97" s="7" t="s">
        <v>197</v>
      </c>
      <c r="D97" s="8"/>
      <c r="E97" s="218"/>
      <c r="F97" s="218"/>
      <c r="G97" s="218"/>
      <c r="H97" s="218"/>
      <c r="I97" s="218"/>
      <c r="J97" s="218">
        <v>13.16</v>
      </c>
      <c r="K97" s="218"/>
      <c r="L97" s="218"/>
      <c r="M97" s="273">
        <f>J97</f>
        <v>13.16</v>
      </c>
    </row>
    <row r="98" spans="1:13" x14ac:dyDescent="0.2">
      <c r="A98" s="231"/>
      <c r="B98" s="9"/>
      <c r="C98" s="7" t="s">
        <v>198</v>
      </c>
      <c r="D98" s="8"/>
      <c r="E98" s="218"/>
      <c r="F98" s="218"/>
      <c r="G98" s="218"/>
      <c r="H98" s="218"/>
      <c r="I98" s="218"/>
      <c r="J98" s="218">
        <v>16.82</v>
      </c>
      <c r="K98" s="218"/>
      <c r="L98" s="218"/>
      <c r="M98" s="273">
        <f>J98</f>
        <v>16.82</v>
      </c>
    </row>
    <row r="99" spans="1:13" x14ac:dyDescent="0.2">
      <c r="A99" s="231"/>
      <c r="B99" s="9"/>
      <c r="C99" s="7"/>
      <c r="D99" s="8"/>
      <c r="E99" s="218"/>
      <c r="F99" s="218"/>
      <c r="G99" s="218"/>
      <c r="H99" s="218"/>
      <c r="I99" s="218"/>
      <c r="J99" s="218"/>
      <c r="K99" s="218"/>
      <c r="L99" s="218"/>
      <c r="M99" s="273"/>
    </row>
    <row r="100" spans="1:13" x14ac:dyDescent="0.2">
      <c r="A100" s="231"/>
      <c r="B100" s="9"/>
      <c r="C100" s="7" t="s">
        <v>179</v>
      </c>
      <c r="D100" s="8"/>
      <c r="E100" s="218"/>
      <c r="F100" s="218"/>
      <c r="G100" s="218"/>
      <c r="H100" s="218"/>
      <c r="I100" s="218"/>
      <c r="J100" s="218"/>
      <c r="K100" s="218"/>
      <c r="L100" s="218"/>
      <c r="M100" s="273"/>
    </row>
    <row r="101" spans="1:13" x14ac:dyDescent="0.2">
      <c r="A101" s="231"/>
      <c r="B101" s="9"/>
      <c r="C101" s="7" t="s">
        <v>163</v>
      </c>
      <c r="D101" s="8"/>
      <c r="E101" s="218"/>
      <c r="F101" s="218"/>
      <c r="G101" s="218"/>
      <c r="H101" s="218"/>
      <c r="I101" s="218"/>
      <c r="J101" s="218"/>
      <c r="K101" s="218"/>
      <c r="L101" s="218"/>
      <c r="M101" s="273"/>
    </row>
    <row r="102" spans="1:13" x14ac:dyDescent="0.2">
      <c r="A102" s="231"/>
      <c r="B102" s="9"/>
      <c r="C102" s="7"/>
      <c r="D102" s="8"/>
      <c r="E102" s="218"/>
      <c r="F102" s="218">
        <v>5.01</v>
      </c>
      <c r="G102" s="218"/>
      <c r="H102" s="218">
        <v>0.95</v>
      </c>
      <c r="I102" s="218"/>
      <c r="J102" s="218"/>
      <c r="K102" s="218"/>
      <c r="L102" s="218"/>
      <c r="M102" s="273">
        <f>F102*H102</f>
        <v>4.7594999999999992</v>
      </c>
    </row>
    <row r="103" spans="1:13" x14ac:dyDescent="0.2">
      <c r="A103" s="231"/>
      <c r="B103" s="9"/>
      <c r="C103" s="7"/>
      <c r="D103" s="8"/>
      <c r="E103" s="218"/>
      <c r="F103" s="218">
        <v>2.35</v>
      </c>
      <c r="G103" s="218"/>
      <c r="H103" s="218">
        <v>0.6</v>
      </c>
      <c r="I103" s="218"/>
      <c r="J103" s="218"/>
      <c r="K103" s="218"/>
      <c r="L103" s="218"/>
      <c r="M103" s="273">
        <f>F103*H103</f>
        <v>1.41</v>
      </c>
    </row>
    <row r="104" spans="1:13" x14ac:dyDescent="0.2">
      <c r="A104" s="231"/>
      <c r="B104" s="9"/>
      <c r="C104" s="7" t="s">
        <v>199</v>
      </c>
      <c r="D104" s="8"/>
      <c r="E104" s="218"/>
      <c r="F104" s="218"/>
      <c r="G104" s="218"/>
      <c r="H104" s="218"/>
      <c r="I104" s="218"/>
      <c r="J104" s="218"/>
      <c r="K104" s="218"/>
      <c r="L104" s="218"/>
      <c r="M104" s="273"/>
    </row>
    <row r="105" spans="1:13" x14ac:dyDescent="0.2">
      <c r="A105" s="231"/>
      <c r="B105" s="9"/>
      <c r="C105" s="7" t="s">
        <v>200</v>
      </c>
      <c r="D105" s="8"/>
      <c r="E105" s="218"/>
      <c r="F105" s="218"/>
      <c r="G105" s="218">
        <v>10.41</v>
      </c>
      <c r="H105" s="218"/>
      <c r="I105" s="218">
        <v>0.5</v>
      </c>
      <c r="J105" s="218"/>
      <c r="K105" s="218"/>
      <c r="L105" s="218"/>
      <c r="M105" s="273">
        <f>G105*I105</f>
        <v>5.2050000000000001</v>
      </c>
    </row>
    <row r="106" spans="1:13" x14ac:dyDescent="0.2">
      <c r="A106" s="231"/>
      <c r="B106" s="9"/>
      <c r="C106" s="7" t="s">
        <v>164</v>
      </c>
      <c r="D106" s="8"/>
      <c r="E106" s="218"/>
      <c r="F106" s="218"/>
      <c r="G106" s="218"/>
      <c r="H106" s="218"/>
      <c r="I106" s="218"/>
      <c r="J106" s="218"/>
      <c r="K106" s="218"/>
      <c r="L106" s="218"/>
      <c r="M106" s="273"/>
    </row>
    <row r="107" spans="1:13" x14ac:dyDescent="0.2">
      <c r="A107" s="231"/>
      <c r="B107" s="9"/>
      <c r="C107" s="7"/>
      <c r="D107" s="8"/>
      <c r="E107" s="218"/>
      <c r="F107" s="218">
        <v>3.3</v>
      </c>
      <c r="G107" s="218"/>
      <c r="H107" s="218">
        <v>0.6</v>
      </c>
      <c r="I107" s="218"/>
      <c r="J107" s="218"/>
      <c r="K107" s="218"/>
      <c r="L107" s="218"/>
      <c r="M107" s="273">
        <f>F107*H107</f>
        <v>1.9799999999999998</v>
      </c>
    </row>
    <row r="108" spans="1:13" x14ac:dyDescent="0.2">
      <c r="A108" s="231"/>
      <c r="B108" s="9"/>
      <c r="C108" s="7"/>
      <c r="D108" s="8"/>
      <c r="E108" s="218"/>
      <c r="F108" s="218">
        <v>2.04</v>
      </c>
      <c r="G108" s="218"/>
      <c r="H108" s="218">
        <v>0.6</v>
      </c>
      <c r="I108" s="218"/>
      <c r="J108" s="218"/>
      <c r="K108" s="218"/>
      <c r="L108" s="218"/>
      <c r="M108" s="273">
        <f>F108*H108</f>
        <v>1.224</v>
      </c>
    </row>
    <row r="109" spans="1:13" x14ac:dyDescent="0.2">
      <c r="A109" s="231"/>
      <c r="B109" s="9"/>
      <c r="C109" s="7" t="s">
        <v>201</v>
      </c>
      <c r="D109" s="8"/>
      <c r="E109" s="218"/>
      <c r="F109" s="218"/>
      <c r="G109" s="218"/>
      <c r="H109" s="218"/>
      <c r="I109" s="218"/>
      <c r="J109" s="218"/>
      <c r="K109" s="218"/>
      <c r="L109" s="218"/>
      <c r="M109" s="273"/>
    </row>
    <row r="110" spans="1:13" x14ac:dyDescent="0.2">
      <c r="A110" s="231"/>
      <c r="B110" s="9"/>
      <c r="C110" s="7" t="s">
        <v>202</v>
      </c>
      <c r="D110" s="8"/>
      <c r="E110" s="218"/>
      <c r="F110" s="218"/>
      <c r="G110" s="218">
        <v>8.64</v>
      </c>
      <c r="H110" s="218"/>
      <c r="I110" s="218">
        <v>0.5</v>
      </c>
      <c r="J110" s="218"/>
      <c r="K110" s="218"/>
      <c r="L110" s="218"/>
      <c r="M110" s="273">
        <f>G110*I110</f>
        <v>4.32</v>
      </c>
    </row>
    <row r="111" spans="1:13" x14ac:dyDescent="0.2">
      <c r="A111" s="231"/>
      <c r="B111" s="9"/>
      <c r="C111" s="7" t="s">
        <v>203</v>
      </c>
      <c r="D111" s="8"/>
      <c r="E111" s="218"/>
      <c r="F111" s="218"/>
      <c r="G111" s="218"/>
      <c r="H111" s="218"/>
      <c r="I111" s="218"/>
      <c r="J111" s="218"/>
      <c r="K111" s="218"/>
      <c r="L111" s="218"/>
      <c r="M111" s="273"/>
    </row>
    <row r="112" spans="1:13" x14ac:dyDescent="0.2">
      <c r="A112" s="231"/>
      <c r="B112" s="9"/>
      <c r="C112" s="7"/>
      <c r="D112" s="8"/>
      <c r="E112" s="218"/>
      <c r="F112" s="218">
        <v>13.19</v>
      </c>
      <c r="G112" s="218"/>
      <c r="H112" s="218">
        <v>0.6</v>
      </c>
      <c r="I112" s="218"/>
      <c r="J112" s="218"/>
      <c r="K112" s="218"/>
      <c r="L112" s="218"/>
      <c r="M112" s="273">
        <f>F112*H112</f>
        <v>7.9139999999999997</v>
      </c>
    </row>
    <row r="113" spans="1:13" x14ac:dyDescent="0.2">
      <c r="A113" s="231"/>
      <c r="B113" s="9"/>
      <c r="C113" s="7" t="s">
        <v>204</v>
      </c>
      <c r="D113" s="8"/>
      <c r="E113" s="218"/>
      <c r="F113" s="218"/>
      <c r="G113" s="218"/>
      <c r="H113" s="218"/>
      <c r="I113" s="218"/>
      <c r="J113" s="218"/>
      <c r="K113" s="218"/>
      <c r="L113" s="218"/>
      <c r="M113" s="273"/>
    </row>
    <row r="114" spans="1:13" x14ac:dyDescent="0.2">
      <c r="A114" s="231"/>
      <c r="B114" s="9"/>
      <c r="C114" s="7" t="s">
        <v>205</v>
      </c>
      <c r="D114" s="8"/>
      <c r="E114" s="218"/>
      <c r="F114" s="218"/>
      <c r="G114" s="218">
        <v>26.38</v>
      </c>
      <c r="H114" s="218"/>
      <c r="I114" s="218">
        <v>0.5</v>
      </c>
      <c r="J114" s="218"/>
      <c r="K114" s="218"/>
      <c r="L114" s="218"/>
      <c r="M114" s="273">
        <f>G114*I114</f>
        <v>13.19</v>
      </c>
    </row>
    <row r="115" spans="1:13" x14ac:dyDescent="0.2">
      <c r="A115" s="231"/>
      <c r="B115" s="9"/>
      <c r="C115" s="7" t="s">
        <v>206</v>
      </c>
      <c r="D115" s="8"/>
      <c r="E115" s="218"/>
      <c r="F115" s="218"/>
      <c r="G115" s="218"/>
      <c r="H115" s="218"/>
      <c r="I115" s="218"/>
      <c r="J115" s="218"/>
      <c r="K115" s="218"/>
      <c r="L115" s="218"/>
      <c r="M115" s="273"/>
    </row>
    <row r="116" spans="1:13" x14ac:dyDescent="0.2">
      <c r="A116" s="231"/>
      <c r="B116" s="9"/>
      <c r="C116" s="7"/>
      <c r="D116" s="8"/>
      <c r="E116" s="218"/>
      <c r="F116" s="218">
        <v>12.39</v>
      </c>
      <c r="G116" s="218"/>
      <c r="H116" s="218">
        <v>2.6</v>
      </c>
      <c r="I116" s="218"/>
      <c r="J116" s="218"/>
      <c r="K116" s="218"/>
      <c r="L116" s="218"/>
      <c r="M116" s="273">
        <f>F116*H116</f>
        <v>32.214000000000006</v>
      </c>
    </row>
    <row r="117" spans="1:13" x14ac:dyDescent="0.2">
      <c r="A117" s="231"/>
      <c r="B117" s="9"/>
      <c r="C117" s="7" t="s">
        <v>207</v>
      </c>
      <c r="D117" s="8"/>
      <c r="E117" s="218"/>
      <c r="F117" s="218"/>
      <c r="G117" s="218"/>
      <c r="H117" s="218"/>
      <c r="I117" s="218"/>
      <c r="J117" s="218"/>
      <c r="K117" s="218">
        <v>0.18</v>
      </c>
      <c r="L117" s="218"/>
      <c r="M117" s="273">
        <f>K117</f>
        <v>0.18</v>
      </c>
    </row>
    <row r="118" spans="1:13" x14ac:dyDescent="0.2">
      <c r="A118" s="231"/>
      <c r="B118" s="9"/>
      <c r="C118" s="7" t="s">
        <v>208</v>
      </c>
      <c r="D118" s="8"/>
      <c r="E118" s="218"/>
      <c r="F118" s="218"/>
      <c r="G118" s="218"/>
      <c r="H118" s="218"/>
      <c r="I118" s="218"/>
      <c r="J118" s="218"/>
      <c r="K118" s="218">
        <v>7.88</v>
      </c>
      <c r="L118" s="218"/>
      <c r="M118" s="273">
        <f>K118</f>
        <v>7.88</v>
      </c>
    </row>
    <row r="119" spans="1:13" x14ac:dyDescent="0.2">
      <c r="A119" s="231"/>
      <c r="B119" s="9"/>
      <c r="C119" s="7"/>
      <c r="D119" s="8"/>
      <c r="E119" s="218"/>
      <c r="F119" s="218">
        <v>0.4</v>
      </c>
      <c r="G119" s="218"/>
      <c r="H119" s="218">
        <v>1.7</v>
      </c>
      <c r="I119" s="218"/>
      <c r="J119" s="218"/>
      <c r="K119" s="218"/>
      <c r="L119" s="218"/>
      <c r="M119" s="273">
        <f>F119*H119</f>
        <v>0.68</v>
      </c>
    </row>
    <row r="120" spans="1:13" x14ac:dyDescent="0.2">
      <c r="A120" s="231"/>
      <c r="B120" s="9"/>
      <c r="C120" s="7"/>
      <c r="D120" s="8"/>
      <c r="E120" s="218"/>
      <c r="F120" s="218">
        <v>2</v>
      </c>
      <c r="G120" s="218"/>
      <c r="H120" s="218">
        <v>1.8</v>
      </c>
      <c r="I120" s="218"/>
      <c r="J120" s="218"/>
      <c r="K120" s="218"/>
      <c r="L120" s="218"/>
      <c r="M120" s="273">
        <f>F120*H120</f>
        <v>3.6</v>
      </c>
    </row>
    <row r="121" spans="1:13" x14ac:dyDescent="0.2">
      <c r="A121" s="231"/>
      <c r="B121" s="9"/>
      <c r="C121" s="7"/>
      <c r="D121" s="8"/>
      <c r="E121" s="218"/>
      <c r="F121" s="218"/>
      <c r="G121" s="218"/>
      <c r="H121" s="218"/>
      <c r="I121" s="218"/>
      <c r="J121" s="218"/>
      <c r="K121" s="218"/>
      <c r="L121" s="218"/>
      <c r="M121" s="273"/>
    </row>
    <row r="122" spans="1:13" x14ac:dyDescent="0.2">
      <c r="A122" s="231"/>
      <c r="B122" s="9"/>
      <c r="C122" s="7" t="s">
        <v>152</v>
      </c>
      <c r="D122" s="8"/>
      <c r="E122" s="218"/>
      <c r="F122" s="218"/>
      <c r="G122" s="218"/>
      <c r="H122" s="218"/>
      <c r="I122" s="218"/>
      <c r="J122" s="218"/>
      <c r="K122" s="218"/>
      <c r="L122" s="218"/>
      <c r="M122" s="273"/>
    </row>
    <row r="123" spans="1:13" x14ac:dyDescent="0.2">
      <c r="A123" s="231"/>
      <c r="B123" s="9"/>
      <c r="C123" s="7" t="s">
        <v>209</v>
      </c>
      <c r="D123" s="8"/>
      <c r="E123" s="218"/>
      <c r="F123" s="10"/>
      <c r="G123" s="10"/>
      <c r="H123" s="10"/>
      <c r="I123" s="218"/>
      <c r="J123" s="218"/>
      <c r="K123" s="218"/>
      <c r="L123" s="218"/>
      <c r="M123" s="273"/>
    </row>
    <row r="124" spans="1:13" x14ac:dyDescent="0.2">
      <c r="A124" s="231"/>
      <c r="B124" s="9"/>
      <c r="C124" s="7"/>
      <c r="D124" s="8"/>
      <c r="E124" s="218"/>
      <c r="F124" s="218">
        <v>8.65</v>
      </c>
      <c r="G124" s="218"/>
      <c r="H124" s="218">
        <v>1</v>
      </c>
      <c r="I124" s="218"/>
      <c r="J124" s="218"/>
      <c r="K124" s="218"/>
      <c r="L124" s="218"/>
      <c r="M124" s="273">
        <f>F124</f>
        <v>8.65</v>
      </c>
    </row>
    <row r="125" spans="1:13" x14ac:dyDescent="0.2">
      <c r="A125" s="231"/>
      <c r="B125" s="9"/>
      <c r="C125" s="7"/>
      <c r="D125" s="8"/>
      <c r="E125" s="218"/>
      <c r="F125" s="218">
        <v>7.95</v>
      </c>
      <c r="G125" s="218"/>
      <c r="H125" s="218">
        <v>1</v>
      </c>
      <c r="I125" s="218"/>
      <c r="J125" s="218"/>
      <c r="K125" s="218"/>
      <c r="L125" s="218"/>
      <c r="M125" s="273">
        <f>F125</f>
        <v>7.95</v>
      </c>
    </row>
    <row r="126" spans="1:13" x14ac:dyDescent="0.2">
      <c r="A126" s="231"/>
      <c r="B126" s="9"/>
      <c r="C126" s="7"/>
      <c r="D126" s="8"/>
      <c r="E126" s="218"/>
      <c r="F126" s="218">
        <v>1.8</v>
      </c>
      <c r="G126" s="218"/>
      <c r="H126" s="218">
        <v>0.7</v>
      </c>
      <c r="I126" s="218"/>
      <c r="J126" s="218"/>
      <c r="K126" s="218"/>
      <c r="L126" s="218"/>
      <c r="M126" s="273">
        <f>F126</f>
        <v>1.8</v>
      </c>
    </row>
    <row r="127" spans="1:13" x14ac:dyDescent="0.2">
      <c r="A127" s="231"/>
      <c r="B127" s="9"/>
      <c r="C127" s="7"/>
      <c r="D127" s="8"/>
      <c r="E127" s="218"/>
      <c r="F127" s="218">
        <v>2.85</v>
      </c>
      <c r="G127" s="218"/>
      <c r="H127" s="218">
        <v>1.8</v>
      </c>
      <c r="I127" s="218"/>
      <c r="J127" s="218"/>
      <c r="K127" s="218"/>
      <c r="L127" s="218"/>
      <c r="M127" s="273">
        <f>F127</f>
        <v>2.85</v>
      </c>
    </row>
    <row r="128" spans="1:13" x14ac:dyDescent="0.2">
      <c r="A128" s="231"/>
      <c r="B128" s="9"/>
      <c r="C128" s="7" t="s">
        <v>210</v>
      </c>
      <c r="D128" s="8"/>
      <c r="E128" s="218"/>
      <c r="F128" s="218"/>
      <c r="G128" s="218"/>
      <c r="H128" s="218"/>
      <c r="I128" s="218"/>
      <c r="J128" s="218"/>
      <c r="K128" s="218"/>
      <c r="L128" s="218"/>
      <c r="M128" s="273"/>
    </row>
    <row r="129" spans="1:13" ht="24" x14ac:dyDescent="0.2">
      <c r="A129" s="231"/>
      <c r="B129" s="9"/>
      <c r="C129" s="7" t="s">
        <v>211</v>
      </c>
      <c r="D129" s="8"/>
      <c r="E129" s="218"/>
      <c r="F129" s="218"/>
      <c r="G129" s="218">
        <v>19.59</v>
      </c>
      <c r="H129" s="218"/>
      <c r="I129" s="218">
        <v>0.45</v>
      </c>
      <c r="J129" s="218"/>
      <c r="K129" s="218"/>
      <c r="L129" s="218"/>
      <c r="M129" s="273">
        <f>G129*I129</f>
        <v>8.8155000000000001</v>
      </c>
    </row>
    <row r="130" spans="1:13" x14ac:dyDescent="0.2">
      <c r="A130" s="231"/>
      <c r="B130" s="9"/>
      <c r="C130" s="7" t="s">
        <v>212</v>
      </c>
      <c r="D130" s="8"/>
      <c r="E130" s="218"/>
      <c r="F130" s="218">
        <v>2.85</v>
      </c>
      <c r="G130" s="218"/>
      <c r="H130" s="218">
        <v>1.85</v>
      </c>
      <c r="I130" s="218"/>
      <c r="J130" s="218"/>
      <c r="K130" s="218"/>
      <c r="L130" s="218"/>
      <c r="M130" s="273">
        <f>F130*H130</f>
        <v>5.2725000000000009</v>
      </c>
    </row>
    <row r="131" spans="1:13" x14ac:dyDescent="0.2">
      <c r="A131" s="231"/>
      <c r="B131" s="9"/>
      <c r="C131" s="7" t="s">
        <v>213</v>
      </c>
      <c r="D131" s="8"/>
      <c r="E131" s="218"/>
      <c r="F131" s="218">
        <v>2.85</v>
      </c>
      <c r="G131" s="218"/>
      <c r="H131" s="218">
        <v>1.85</v>
      </c>
      <c r="I131" s="218"/>
      <c r="J131" s="218"/>
      <c r="K131" s="218"/>
      <c r="L131" s="218"/>
      <c r="M131" s="273">
        <f>F131*H131</f>
        <v>5.2725000000000009</v>
      </c>
    </row>
    <row r="132" spans="1:13" x14ac:dyDescent="0.2">
      <c r="A132" s="231"/>
      <c r="B132" s="9"/>
      <c r="C132" s="7" t="s">
        <v>214</v>
      </c>
      <c r="D132" s="8"/>
      <c r="E132" s="218"/>
      <c r="F132" s="218"/>
      <c r="G132" s="218"/>
      <c r="H132" s="218"/>
      <c r="I132" s="218"/>
      <c r="J132" s="218"/>
      <c r="K132" s="218"/>
      <c r="L132" s="218"/>
      <c r="M132" s="273"/>
    </row>
    <row r="133" spans="1:13" x14ac:dyDescent="0.2">
      <c r="A133" s="231"/>
      <c r="B133" s="9"/>
      <c r="C133" s="7"/>
      <c r="D133" s="8"/>
      <c r="E133" s="218"/>
      <c r="F133" s="218">
        <v>5.8</v>
      </c>
      <c r="G133" s="218"/>
      <c r="H133" s="218">
        <v>1.5</v>
      </c>
      <c r="I133" s="218"/>
      <c r="J133" s="218"/>
      <c r="K133" s="218"/>
      <c r="L133" s="218"/>
      <c r="M133" s="273">
        <f>F133</f>
        <v>5.8</v>
      </c>
    </row>
    <row r="134" spans="1:13" x14ac:dyDescent="0.2">
      <c r="A134" s="231"/>
      <c r="B134" s="9"/>
      <c r="C134" s="7"/>
      <c r="D134" s="8"/>
      <c r="E134" s="218"/>
      <c r="F134" s="218">
        <v>9.06</v>
      </c>
      <c r="G134" s="218"/>
      <c r="H134" s="218">
        <v>0.5</v>
      </c>
      <c r="I134" s="218"/>
      <c r="J134" s="218"/>
      <c r="K134" s="218"/>
      <c r="L134" s="218"/>
      <c r="M134" s="273">
        <f>F134</f>
        <v>9.06</v>
      </c>
    </row>
    <row r="135" spans="1:13" x14ac:dyDescent="0.2">
      <c r="A135" s="231"/>
      <c r="B135" s="9"/>
      <c r="C135" s="7"/>
      <c r="D135" s="8"/>
      <c r="E135" s="218"/>
      <c r="F135" s="218">
        <v>9.06</v>
      </c>
      <c r="G135" s="218"/>
      <c r="H135" s="218">
        <v>1</v>
      </c>
      <c r="I135" s="218"/>
      <c r="J135" s="218"/>
      <c r="K135" s="218"/>
      <c r="L135" s="218"/>
      <c r="M135" s="273">
        <f>F135</f>
        <v>9.06</v>
      </c>
    </row>
    <row r="136" spans="1:13" x14ac:dyDescent="0.2">
      <c r="A136" s="231"/>
      <c r="B136" s="9"/>
      <c r="C136" s="7" t="s">
        <v>215</v>
      </c>
      <c r="D136" s="8"/>
      <c r="E136" s="218"/>
      <c r="F136" s="218"/>
      <c r="G136" s="218"/>
      <c r="H136" s="218"/>
      <c r="I136" s="218"/>
      <c r="J136" s="218"/>
      <c r="K136" s="218"/>
      <c r="L136" s="218"/>
      <c r="M136" s="273"/>
    </row>
    <row r="137" spans="1:13" x14ac:dyDescent="0.2">
      <c r="A137" s="231"/>
      <c r="B137" s="9"/>
      <c r="C137" s="7" t="s">
        <v>216</v>
      </c>
      <c r="D137" s="8"/>
      <c r="E137" s="218"/>
      <c r="F137" s="218"/>
      <c r="G137" s="218">
        <v>23.04</v>
      </c>
      <c r="H137" s="218"/>
      <c r="I137" s="218">
        <v>0.45</v>
      </c>
      <c r="J137" s="218"/>
      <c r="K137" s="218"/>
      <c r="L137" s="218"/>
      <c r="M137" s="273">
        <f>G137*I137</f>
        <v>10.368</v>
      </c>
    </row>
    <row r="138" spans="1:13" x14ac:dyDescent="0.2">
      <c r="A138" s="231"/>
      <c r="B138" s="9"/>
      <c r="C138" s="7" t="s">
        <v>217</v>
      </c>
      <c r="D138" s="8"/>
      <c r="E138" s="218"/>
      <c r="F138" s="218"/>
      <c r="G138" s="218"/>
      <c r="H138" s="218"/>
      <c r="I138" s="218"/>
      <c r="J138" s="218">
        <v>54</v>
      </c>
      <c r="K138" s="218"/>
      <c r="L138" s="218"/>
      <c r="M138" s="273">
        <f>J138</f>
        <v>54</v>
      </c>
    </row>
    <row r="139" spans="1:13" x14ac:dyDescent="0.2">
      <c r="A139" s="231"/>
      <c r="B139" s="9"/>
      <c r="C139" s="7" t="s">
        <v>218</v>
      </c>
      <c r="D139" s="8"/>
      <c r="E139" s="218"/>
      <c r="F139" s="218"/>
      <c r="G139" s="218"/>
      <c r="H139" s="218"/>
      <c r="I139" s="218"/>
      <c r="J139" s="218"/>
      <c r="K139" s="218"/>
      <c r="L139" s="218"/>
      <c r="M139" s="273"/>
    </row>
    <row r="140" spans="1:13" x14ac:dyDescent="0.2">
      <c r="A140" s="231"/>
      <c r="B140" s="9"/>
      <c r="C140" s="7" t="s">
        <v>219</v>
      </c>
      <c r="D140" s="8"/>
      <c r="E140" s="218"/>
      <c r="F140" s="218"/>
      <c r="G140" s="218"/>
      <c r="H140" s="218"/>
      <c r="I140" s="218"/>
      <c r="J140" s="218"/>
      <c r="K140" s="218">
        <v>1.59</v>
      </c>
      <c r="L140" s="218"/>
      <c r="M140" s="273">
        <f>K140</f>
        <v>1.59</v>
      </c>
    </row>
    <row r="141" spans="1:13" x14ac:dyDescent="0.2">
      <c r="A141" s="231"/>
      <c r="B141" s="9"/>
      <c r="C141" s="7" t="s">
        <v>220</v>
      </c>
      <c r="D141" s="8"/>
      <c r="E141" s="218"/>
      <c r="F141" s="218"/>
      <c r="G141" s="218"/>
      <c r="H141" s="218"/>
      <c r="I141" s="218"/>
      <c r="J141" s="218"/>
      <c r="K141" s="218">
        <v>2.44</v>
      </c>
      <c r="L141" s="218"/>
      <c r="M141" s="273">
        <f>K141</f>
        <v>2.44</v>
      </c>
    </row>
    <row r="142" spans="1:13" x14ac:dyDescent="0.2">
      <c r="A142" s="231"/>
      <c r="B142" s="9"/>
      <c r="C142" s="7" t="s">
        <v>221</v>
      </c>
      <c r="D142" s="8"/>
      <c r="E142" s="218"/>
      <c r="F142" s="218"/>
      <c r="G142" s="218"/>
      <c r="H142" s="218"/>
      <c r="I142" s="218"/>
      <c r="J142" s="218"/>
      <c r="K142" s="218"/>
      <c r="L142" s="218"/>
      <c r="M142" s="273"/>
    </row>
    <row r="143" spans="1:13" x14ac:dyDescent="0.2">
      <c r="A143" s="231"/>
      <c r="B143" s="9"/>
      <c r="C143" s="7" t="s">
        <v>222</v>
      </c>
      <c r="D143" s="8"/>
      <c r="E143" s="218"/>
      <c r="F143" s="218"/>
      <c r="G143" s="218"/>
      <c r="H143" s="218"/>
      <c r="I143" s="218"/>
      <c r="J143" s="218"/>
      <c r="K143" s="218">
        <v>2.66</v>
      </c>
      <c r="L143" s="218"/>
      <c r="M143" s="273">
        <f>K143</f>
        <v>2.66</v>
      </c>
    </row>
    <row r="144" spans="1:13" x14ac:dyDescent="0.2">
      <c r="A144" s="231"/>
      <c r="B144" s="9"/>
      <c r="C144" s="7" t="s">
        <v>223</v>
      </c>
      <c r="D144" s="8"/>
      <c r="E144" s="218"/>
      <c r="F144" s="218"/>
      <c r="G144" s="218"/>
      <c r="H144" s="218"/>
      <c r="I144" s="218"/>
      <c r="J144" s="218"/>
      <c r="K144" s="218"/>
      <c r="L144" s="218"/>
      <c r="M144" s="273"/>
    </row>
    <row r="145" spans="1:13" x14ac:dyDescent="0.2">
      <c r="A145" s="231"/>
      <c r="B145" s="9"/>
      <c r="C145" s="7" t="s">
        <v>224</v>
      </c>
      <c r="D145" s="8"/>
      <c r="E145" s="218"/>
      <c r="F145" s="218"/>
      <c r="G145" s="218"/>
      <c r="H145" s="218"/>
      <c r="I145" s="218"/>
      <c r="J145" s="218"/>
      <c r="K145" s="218">
        <v>2.38</v>
      </c>
      <c r="L145" s="218"/>
      <c r="M145" s="273">
        <f>K145</f>
        <v>2.38</v>
      </c>
    </row>
    <row r="146" spans="1:13" x14ac:dyDescent="0.2">
      <c r="A146" s="231"/>
      <c r="B146" s="9"/>
      <c r="C146" s="7" t="s">
        <v>225</v>
      </c>
      <c r="D146" s="8"/>
      <c r="E146" s="218"/>
      <c r="F146" s="218"/>
      <c r="G146" s="218"/>
      <c r="H146" s="218"/>
      <c r="I146" s="218"/>
      <c r="J146" s="218"/>
      <c r="K146" s="218"/>
      <c r="L146" s="218"/>
      <c r="M146" s="273"/>
    </row>
    <row r="147" spans="1:13" x14ac:dyDescent="0.2">
      <c r="A147" s="231"/>
      <c r="B147" s="9"/>
      <c r="C147" s="7" t="s">
        <v>226</v>
      </c>
      <c r="D147" s="8"/>
      <c r="E147" s="218"/>
      <c r="F147" s="218"/>
      <c r="G147" s="218">
        <v>16.38</v>
      </c>
      <c r="H147" s="218"/>
      <c r="I147" s="218">
        <v>0.4</v>
      </c>
      <c r="J147" s="218"/>
      <c r="K147" s="218"/>
      <c r="L147" s="218"/>
      <c r="M147" s="273">
        <f>G147*I147</f>
        <v>6.5519999999999996</v>
      </c>
    </row>
    <row r="148" spans="1:13" x14ac:dyDescent="0.2">
      <c r="A148" s="231"/>
      <c r="B148" s="9"/>
      <c r="C148" s="7"/>
      <c r="D148" s="8"/>
      <c r="E148" s="218"/>
      <c r="F148" s="218"/>
      <c r="G148" s="218"/>
      <c r="H148" s="218"/>
      <c r="I148" s="218"/>
      <c r="J148" s="218"/>
      <c r="K148" s="218"/>
      <c r="L148" s="218"/>
      <c r="M148" s="273"/>
    </row>
    <row r="149" spans="1:13" ht="24" x14ac:dyDescent="0.2">
      <c r="A149" s="236" t="s">
        <v>41</v>
      </c>
      <c r="B149" s="344" t="s">
        <v>327</v>
      </c>
      <c r="C149" s="345" t="s">
        <v>42</v>
      </c>
      <c r="D149" s="348" t="s">
        <v>17</v>
      </c>
      <c r="E149" s="347"/>
      <c r="F149" s="347"/>
      <c r="G149" s="347"/>
      <c r="H149" s="347"/>
      <c r="I149" s="347"/>
      <c r="J149" s="347"/>
      <c r="K149" s="347"/>
      <c r="L149" s="347"/>
      <c r="M149" s="349">
        <f>SUM(M151:M160)</f>
        <v>137.577</v>
      </c>
    </row>
    <row r="150" spans="1:13" x14ac:dyDescent="0.2">
      <c r="A150" s="231"/>
      <c r="B150" s="9"/>
      <c r="C150" s="7" t="s">
        <v>150</v>
      </c>
      <c r="D150" s="8"/>
      <c r="E150" s="218"/>
      <c r="F150" s="218"/>
      <c r="G150" s="218"/>
      <c r="H150" s="218"/>
      <c r="I150" s="218"/>
      <c r="J150" s="218"/>
      <c r="K150" s="218"/>
      <c r="L150" s="218"/>
      <c r="M150" s="273"/>
    </row>
    <row r="151" spans="1:13" ht="24" x14ac:dyDescent="0.2">
      <c r="A151" s="231"/>
      <c r="B151" s="9"/>
      <c r="C151" s="7" t="s">
        <v>177</v>
      </c>
      <c r="D151" s="8"/>
      <c r="E151" s="218"/>
      <c r="F151" s="218"/>
      <c r="G151" s="218">
        <v>16.8</v>
      </c>
      <c r="H151" s="218"/>
      <c r="I151" s="218">
        <v>2.2999999999999998</v>
      </c>
      <c r="J151" s="218"/>
      <c r="K151" s="218"/>
      <c r="L151" s="218"/>
      <c r="M151" s="273">
        <f>G151*I151</f>
        <v>38.64</v>
      </c>
    </row>
    <row r="152" spans="1:13" x14ac:dyDescent="0.2">
      <c r="A152" s="231"/>
      <c r="B152" s="9"/>
      <c r="C152" s="7"/>
      <c r="D152" s="8"/>
      <c r="E152" s="218"/>
      <c r="F152" s="218"/>
      <c r="G152" s="218"/>
      <c r="H152" s="218"/>
      <c r="I152" s="218"/>
      <c r="J152" s="218"/>
      <c r="K152" s="218"/>
      <c r="L152" s="218"/>
      <c r="M152" s="273"/>
    </row>
    <row r="153" spans="1:13" x14ac:dyDescent="0.2">
      <c r="A153" s="231"/>
      <c r="B153" s="9"/>
      <c r="C153" s="7" t="s">
        <v>151</v>
      </c>
      <c r="D153" s="8"/>
      <c r="E153" s="218"/>
      <c r="F153" s="218"/>
      <c r="G153" s="218"/>
      <c r="H153" s="218"/>
      <c r="I153" s="218"/>
      <c r="J153" s="218"/>
      <c r="K153" s="218"/>
      <c r="L153" s="218"/>
      <c r="M153" s="273"/>
    </row>
    <row r="154" spans="1:13" x14ac:dyDescent="0.2">
      <c r="A154" s="231"/>
      <c r="B154" s="9"/>
      <c r="C154" s="7" t="s">
        <v>178</v>
      </c>
      <c r="D154" s="8"/>
      <c r="E154" s="218"/>
      <c r="F154" s="218"/>
      <c r="G154" s="218">
        <v>2</v>
      </c>
      <c r="H154" s="218"/>
      <c r="I154" s="218">
        <v>2.4</v>
      </c>
      <c r="J154" s="218"/>
      <c r="K154" s="218"/>
      <c r="L154" s="218"/>
      <c r="M154" s="273">
        <f>G154*I154</f>
        <v>4.8</v>
      </c>
    </row>
    <row r="155" spans="1:13" x14ac:dyDescent="0.2">
      <c r="A155" s="231"/>
      <c r="B155" s="9"/>
      <c r="C155" s="7"/>
      <c r="D155" s="8"/>
      <c r="E155" s="218"/>
      <c r="F155" s="218"/>
      <c r="G155" s="218"/>
      <c r="H155" s="218"/>
      <c r="I155" s="218"/>
      <c r="J155" s="218"/>
      <c r="K155" s="218"/>
      <c r="L155" s="218"/>
      <c r="M155" s="273"/>
    </row>
    <row r="156" spans="1:13" x14ac:dyDescent="0.2">
      <c r="A156" s="231"/>
      <c r="B156" s="9"/>
      <c r="C156" s="7" t="s">
        <v>179</v>
      </c>
      <c r="D156" s="8"/>
      <c r="E156" s="218"/>
      <c r="F156" s="218"/>
      <c r="G156" s="218"/>
      <c r="H156" s="218"/>
      <c r="I156" s="218"/>
      <c r="J156" s="218"/>
      <c r="K156" s="218"/>
      <c r="L156" s="218"/>
      <c r="M156" s="273"/>
    </row>
    <row r="157" spans="1:13" x14ac:dyDescent="0.2">
      <c r="A157" s="231"/>
      <c r="B157" s="9"/>
      <c r="C157" s="7" t="s">
        <v>180</v>
      </c>
      <c r="D157" s="8"/>
      <c r="E157" s="218"/>
      <c r="F157" s="218"/>
      <c r="G157" s="218">
        <v>13.19</v>
      </c>
      <c r="H157" s="218"/>
      <c r="I157" s="218">
        <v>1.9</v>
      </c>
      <c r="J157" s="218"/>
      <c r="K157" s="218"/>
      <c r="L157" s="218"/>
      <c r="M157" s="273">
        <f>G157*I157</f>
        <v>25.060999999999996</v>
      </c>
    </row>
    <row r="158" spans="1:13" x14ac:dyDescent="0.2">
      <c r="A158" s="231"/>
      <c r="B158" s="9"/>
      <c r="C158" s="7"/>
      <c r="D158" s="8"/>
      <c r="E158" s="218"/>
      <c r="F158" s="218"/>
      <c r="G158" s="218"/>
      <c r="H158" s="218"/>
      <c r="I158" s="218"/>
      <c r="J158" s="218"/>
      <c r="K158" s="218"/>
      <c r="L158" s="218"/>
      <c r="M158" s="273"/>
    </row>
    <row r="159" spans="1:13" x14ac:dyDescent="0.2">
      <c r="A159" s="231"/>
      <c r="B159" s="9"/>
      <c r="C159" s="7" t="s">
        <v>152</v>
      </c>
      <c r="D159" s="8"/>
      <c r="E159" s="218"/>
      <c r="F159" s="218"/>
      <c r="G159" s="218"/>
      <c r="H159" s="218"/>
      <c r="I159" s="218"/>
      <c r="J159" s="218"/>
      <c r="K159" s="218"/>
      <c r="L159" s="218"/>
      <c r="M159" s="273"/>
    </row>
    <row r="160" spans="1:13" ht="24" x14ac:dyDescent="0.2">
      <c r="A160" s="231"/>
      <c r="B160" s="9"/>
      <c r="C160" s="7" t="s">
        <v>182</v>
      </c>
      <c r="D160" s="8"/>
      <c r="E160" s="218"/>
      <c r="F160" s="218"/>
      <c r="G160" s="218">
        <v>24.67</v>
      </c>
      <c r="H160" s="218"/>
      <c r="I160" s="218">
        <v>2.8</v>
      </c>
      <c r="J160" s="218"/>
      <c r="K160" s="218"/>
      <c r="L160" s="218"/>
      <c r="M160" s="273">
        <f>G160*I160</f>
        <v>69.075999999999993</v>
      </c>
    </row>
    <row r="161" spans="1:13" x14ac:dyDescent="0.2">
      <c r="A161" s="231"/>
      <c r="B161" s="9"/>
      <c r="C161" s="7"/>
      <c r="D161" s="8"/>
      <c r="E161" s="218"/>
      <c r="F161" s="218"/>
      <c r="G161" s="218"/>
      <c r="H161" s="218"/>
      <c r="I161" s="218"/>
      <c r="J161" s="218"/>
      <c r="K161" s="218"/>
      <c r="L161" s="218"/>
      <c r="M161" s="273"/>
    </row>
    <row r="162" spans="1:13" ht="24" x14ac:dyDescent="0.2">
      <c r="A162" s="231" t="s">
        <v>43</v>
      </c>
      <c r="B162" s="9" t="s">
        <v>328</v>
      </c>
      <c r="C162" s="7" t="s">
        <v>44</v>
      </c>
      <c r="D162" s="17" t="s">
        <v>45</v>
      </c>
      <c r="E162" s="218"/>
      <c r="F162" s="218"/>
      <c r="G162" s="218"/>
      <c r="H162" s="218"/>
      <c r="I162" s="218"/>
      <c r="J162" s="218"/>
      <c r="K162" s="218"/>
      <c r="L162" s="218"/>
      <c r="M162" s="272">
        <f>SUM(M163:M180)</f>
        <v>121.22</v>
      </c>
    </row>
    <row r="163" spans="1:13" x14ac:dyDescent="0.2">
      <c r="A163" s="231"/>
      <c r="B163" s="9"/>
      <c r="C163" s="7" t="s">
        <v>150</v>
      </c>
      <c r="D163" s="8"/>
      <c r="E163" s="218"/>
      <c r="F163" s="218"/>
      <c r="G163" s="218">
        <v>15</v>
      </c>
      <c r="H163" s="218"/>
      <c r="I163" s="218"/>
      <c r="J163" s="218"/>
      <c r="K163" s="218"/>
      <c r="L163" s="218"/>
      <c r="M163" s="273">
        <f>G163</f>
        <v>15</v>
      </c>
    </row>
    <row r="164" spans="1:13" x14ac:dyDescent="0.2">
      <c r="A164" s="231"/>
      <c r="B164" s="9"/>
      <c r="C164" s="7"/>
      <c r="D164" s="8"/>
      <c r="E164" s="218"/>
      <c r="F164" s="218"/>
      <c r="G164" s="10"/>
      <c r="H164" s="10"/>
      <c r="I164" s="10"/>
      <c r="J164" s="10"/>
      <c r="K164" s="10"/>
      <c r="L164" s="10"/>
      <c r="M164" s="273"/>
    </row>
    <row r="165" spans="1:13" x14ac:dyDescent="0.2">
      <c r="A165" s="231"/>
      <c r="B165" s="9"/>
      <c r="C165" s="7" t="s">
        <v>151</v>
      </c>
      <c r="D165" s="8"/>
      <c r="E165" s="218"/>
      <c r="F165" s="218"/>
      <c r="G165" s="218"/>
      <c r="H165" s="218"/>
      <c r="I165" s="218"/>
      <c r="J165" s="218"/>
      <c r="K165" s="218"/>
      <c r="L165" s="218"/>
      <c r="M165" s="273"/>
    </row>
    <row r="166" spans="1:13" x14ac:dyDescent="0.2">
      <c r="A166" s="231"/>
      <c r="B166" s="9"/>
      <c r="C166" s="7" t="s">
        <v>159</v>
      </c>
      <c r="D166" s="8"/>
      <c r="E166" s="218"/>
      <c r="F166" s="218"/>
      <c r="G166" s="218"/>
      <c r="H166" s="218"/>
      <c r="I166" s="218"/>
      <c r="J166" s="218"/>
      <c r="K166" s="218"/>
      <c r="L166" s="218"/>
      <c r="M166" s="273"/>
    </row>
    <row r="167" spans="1:13" x14ac:dyDescent="0.2">
      <c r="A167" s="231"/>
      <c r="B167" s="9"/>
      <c r="C167" s="7" t="s">
        <v>184</v>
      </c>
      <c r="D167" s="8"/>
      <c r="E167" s="218"/>
      <c r="F167" s="218"/>
      <c r="G167" s="218">
        <v>17.100000000000001</v>
      </c>
      <c r="H167" s="218"/>
      <c r="I167" s="218"/>
      <c r="J167" s="218"/>
      <c r="K167" s="218"/>
      <c r="L167" s="218"/>
      <c r="M167" s="273">
        <f>G167</f>
        <v>17.100000000000001</v>
      </c>
    </row>
    <row r="168" spans="1:13" x14ac:dyDescent="0.2">
      <c r="A168" s="231"/>
      <c r="B168" s="9"/>
      <c r="C168" s="7" t="s">
        <v>158</v>
      </c>
      <c r="D168" s="8"/>
      <c r="E168" s="218"/>
      <c r="F168" s="218"/>
      <c r="G168" s="218"/>
      <c r="H168" s="218"/>
      <c r="I168" s="218"/>
      <c r="J168" s="218"/>
      <c r="K168" s="218"/>
      <c r="L168" s="218"/>
      <c r="M168" s="273"/>
    </row>
    <row r="169" spans="1:13" ht="24" x14ac:dyDescent="0.2">
      <c r="A169" s="231"/>
      <c r="B169" s="9"/>
      <c r="C169" s="7" t="s">
        <v>183</v>
      </c>
      <c r="D169" s="8"/>
      <c r="E169" s="218"/>
      <c r="F169" s="218"/>
      <c r="G169" s="218">
        <v>16.100000000000001</v>
      </c>
      <c r="H169" s="218"/>
      <c r="I169" s="218"/>
      <c r="J169" s="218"/>
      <c r="K169" s="218"/>
      <c r="L169" s="218"/>
      <c r="M169" s="273">
        <f>G169</f>
        <v>16.100000000000001</v>
      </c>
    </row>
    <row r="170" spans="1:13" x14ac:dyDescent="0.2">
      <c r="A170" s="231"/>
      <c r="B170" s="9"/>
      <c r="C170" s="7" t="s">
        <v>160</v>
      </c>
      <c r="D170" s="8"/>
      <c r="E170" s="218"/>
      <c r="F170" s="218"/>
      <c r="G170" s="218"/>
      <c r="H170" s="218"/>
      <c r="I170" s="218"/>
      <c r="J170" s="218"/>
      <c r="K170" s="218"/>
      <c r="L170" s="218"/>
      <c r="M170" s="273"/>
    </row>
    <row r="171" spans="1:13" x14ac:dyDescent="0.2">
      <c r="A171" s="231"/>
      <c r="B171" s="9"/>
      <c r="C171" s="7" t="s">
        <v>185</v>
      </c>
      <c r="D171" s="8"/>
      <c r="E171" s="218"/>
      <c r="F171" s="218"/>
      <c r="G171" s="218">
        <v>5.4</v>
      </c>
      <c r="H171" s="218"/>
      <c r="I171" s="218"/>
      <c r="J171" s="218"/>
      <c r="K171" s="218"/>
      <c r="L171" s="218"/>
      <c r="M171" s="273">
        <f>G171</f>
        <v>5.4</v>
      </c>
    </row>
    <row r="172" spans="1:13" x14ac:dyDescent="0.2">
      <c r="A172" s="231"/>
      <c r="B172" s="9"/>
      <c r="C172" s="7"/>
      <c r="D172" s="8"/>
      <c r="E172" s="218"/>
      <c r="F172" s="218"/>
      <c r="G172" s="218"/>
      <c r="H172" s="218"/>
      <c r="I172" s="218"/>
      <c r="J172" s="218"/>
      <c r="K172" s="218"/>
      <c r="L172" s="218"/>
      <c r="M172" s="273"/>
    </row>
    <row r="173" spans="1:13" x14ac:dyDescent="0.2">
      <c r="A173" s="231"/>
      <c r="B173" s="9"/>
      <c r="C173" s="7" t="s">
        <v>179</v>
      </c>
      <c r="D173" s="8"/>
      <c r="E173" s="218"/>
      <c r="F173" s="218"/>
      <c r="G173" s="218"/>
      <c r="H173" s="218"/>
      <c r="I173" s="218"/>
      <c r="J173" s="218"/>
      <c r="K173" s="218"/>
      <c r="L173" s="218"/>
      <c r="M173" s="273"/>
    </row>
    <row r="174" spans="1:13" x14ac:dyDescent="0.2">
      <c r="A174" s="231"/>
      <c r="B174" s="9"/>
      <c r="C174" s="7" t="s">
        <v>163</v>
      </c>
      <c r="D174" s="8"/>
      <c r="E174" s="218"/>
      <c r="F174" s="218"/>
      <c r="G174" s="218"/>
      <c r="H174" s="218"/>
      <c r="I174" s="218"/>
      <c r="J174" s="218"/>
      <c r="K174" s="218"/>
      <c r="L174" s="218"/>
      <c r="M174" s="273"/>
    </row>
    <row r="175" spans="1:13" x14ac:dyDescent="0.2">
      <c r="A175" s="231"/>
      <c r="B175" s="9"/>
      <c r="C175" s="7" t="s">
        <v>186</v>
      </c>
      <c r="D175" s="8"/>
      <c r="E175" s="218"/>
      <c r="F175" s="218"/>
      <c r="G175" s="218">
        <v>16.100000000000001</v>
      </c>
      <c r="H175" s="218"/>
      <c r="I175" s="218"/>
      <c r="J175" s="218"/>
      <c r="K175" s="218"/>
      <c r="L175" s="218"/>
      <c r="M175" s="273">
        <f>G175</f>
        <v>16.100000000000001</v>
      </c>
    </row>
    <row r="176" spans="1:13" x14ac:dyDescent="0.2">
      <c r="A176" s="231"/>
      <c r="B176" s="9"/>
      <c r="C176" s="7" t="s">
        <v>164</v>
      </c>
      <c r="D176" s="8"/>
      <c r="E176" s="218"/>
      <c r="F176" s="218"/>
      <c r="G176" s="218"/>
      <c r="H176" s="218"/>
      <c r="I176" s="218"/>
      <c r="J176" s="218"/>
      <c r="K176" s="218"/>
      <c r="L176" s="218"/>
      <c r="M176" s="273"/>
    </row>
    <row r="177" spans="1:13" x14ac:dyDescent="0.2">
      <c r="A177" s="231"/>
      <c r="B177" s="9"/>
      <c r="C177" s="7" t="s">
        <v>187</v>
      </c>
      <c r="D177" s="8"/>
      <c r="E177" s="218"/>
      <c r="F177" s="218"/>
      <c r="G177" s="218">
        <v>15.02</v>
      </c>
      <c r="H177" s="218"/>
      <c r="I177" s="218"/>
      <c r="J177" s="218"/>
      <c r="K177" s="218"/>
      <c r="L177" s="218"/>
      <c r="M177" s="273">
        <f>G177</f>
        <v>15.02</v>
      </c>
    </row>
    <row r="178" spans="1:13" x14ac:dyDescent="0.2">
      <c r="A178" s="231"/>
      <c r="B178" s="9"/>
      <c r="C178" s="7"/>
      <c r="D178" s="8"/>
      <c r="E178" s="218"/>
      <c r="F178" s="218"/>
      <c r="G178" s="218"/>
      <c r="H178" s="218"/>
      <c r="I178" s="218"/>
      <c r="J178" s="218"/>
      <c r="K178" s="218"/>
      <c r="L178" s="218"/>
      <c r="M178" s="273"/>
    </row>
    <row r="179" spans="1:13" x14ac:dyDescent="0.2">
      <c r="A179" s="231"/>
      <c r="B179" s="9"/>
      <c r="C179" s="7" t="s">
        <v>152</v>
      </c>
      <c r="D179" s="8"/>
      <c r="E179" s="218"/>
      <c r="F179" s="218"/>
      <c r="G179" s="218"/>
      <c r="H179" s="218"/>
      <c r="I179" s="218"/>
      <c r="J179" s="218"/>
      <c r="K179" s="218"/>
      <c r="L179" s="218"/>
      <c r="M179" s="273"/>
    </row>
    <row r="180" spans="1:13" ht="24" x14ac:dyDescent="0.2">
      <c r="A180" s="231"/>
      <c r="B180" s="9"/>
      <c r="C180" s="7" t="s">
        <v>227</v>
      </c>
      <c r="D180" s="8"/>
      <c r="E180" s="218"/>
      <c r="F180" s="218"/>
      <c r="G180" s="218">
        <v>36.5</v>
      </c>
      <c r="H180" s="218"/>
      <c r="I180" s="218"/>
      <c r="J180" s="218"/>
      <c r="K180" s="218"/>
      <c r="L180" s="218"/>
      <c r="M180" s="273">
        <f>G180</f>
        <v>36.5</v>
      </c>
    </row>
    <row r="181" spans="1:13" x14ac:dyDescent="0.2">
      <c r="A181" s="231"/>
      <c r="B181" s="9"/>
      <c r="C181" s="7"/>
      <c r="D181" s="8"/>
      <c r="E181" s="218"/>
      <c r="F181" s="218"/>
      <c r="G181" s="218"/>
      <c r="H181" s="218"/>
      <c r="I181" s="218"/>
      <c r="J181" s="218"/>
      <c r="K181" s="218"/>
      <c r="L181" s="218"/>
      <c r="M181" s="273"/>
    </row>
    <row r="182" spans="1:13" x14ac:dyDescent="0.2">
      <c r="A182" s="231" t="s">
        <v>46</v>
      </c>
      <c r="B182" s="9" t="s">
        <v>329</v>
      </c>
      <c r="C182" s="7" t="s">
        <v>47</v>
      </c>
      <c r="D182" s="17" t="s">
        <v>17</v>
      </c>
      <c r="E182" s="218"/>
      <c r="F182" s="218"/>
      <c r="G182" s="218"/>
      <c r="H182" s="218"/>
      <c r="I182" s="218"/>
      <c r="J182" s="218"/>
      <c r="K182" s="218"/>
      <c r="L182" s="218"/>
      <c r="M182" s="272">
        <f>SUM(M184:M186)</f>
        <v>31</v>
      </c>
    </row>
    <row r="183" spans="1:13" x14ac:dyDescent="0.2">
      <c r="A183" s="231"/>
      <c r="B183" s="9"/>
      <c r="C183" s="7"/>
      <c r="D183" s="17"/>
      <c r="E183" s="218"/>
      <c r="F183" s="218"/>
      <c r="G183" s="218"/>
      <c r="H183" s="218"/>
      <c r="I183" s="218"/>
      <c r="J183" s="218"/>
      <c r="K183" s="218"/>
      <c r="L183" s="218"/>
      <c r="M183" s="276"/>
    </row>
    <row r="184" spans="1:13" x14ac:dyDescent="0.2">
      <c r="A184" s="231"/>
      <c r="B184" s="9"/>
      <c r="C184" s="7" t="s">
        <v>150</v>
      </c>
      <c r="D184" s="8"/>
      <c r="E184" s="218"/>
      <c r="F184" s="218"/>
      <c r="G184" s="218">
        <v>6</v>
      </c>
      <c r="H184" s="218">
        <v>4</v>
      </c>
      <c r="I184" s="218"/>
      <c r="J184" s="218"/>
      <c r="K184" s="218"/>
      <c r="L184" s="218"/>
      <c r="M184" s="273">
        <f>G184*H184</f>
        <v>24</v>
      </c>
    </row>
    <row r="185" spans="1:13" x14ac:dyDescent="0.2">
      <c r="A185" s="231"/>
      <c r="B185" s="9"/>
      <c r="C185" s="7" t="s">
        <v>150</v>
      </c>
      <c r="D185" s="8"/>
      <c r="E185" s="218"/>
      <c r="F185" s="218"/>
      <c r="G185" s="218">
        <v>2</v>
      </c>
      <c r="H185" s="218">
        <v>2</v>
      </c>
      <c r="I185" s="218"/>
      <c r="J185" s="218"/>
      <c r="K185" s="218"/>
      <c r="L185" s="218"/>
      <c r="M185" s="273">
        <f>G185*H185</f>
        <v>4</v>
      </c>
    </row>
    <row r="186" spans="1:13" x14ac:dyDescent="0.2">
      <c r="A186" s="231"/>
      <c r="B186" s="9"/>
      <c r="C186" s="7" t="s">
        <v>188</v>
      </c>
      <c r="D186" s="8"/>
      <c r="E186" s="218"/>
      <c r="F186" s="218"/>
      <c r="G186" s="218">
        <v>3</v>
      </c>
      <c r="H186" s="218">
        <v>1</v>
      </c>
      <c r="I186" s="218"/>
      <c r="J186" s="218"/>
      <c r="K186" s="218"/>
      <c r="L186" s="218"/>
      <c r="M186" s="273">
        <f>G186*H186</f>
        <v>3</v>
      </c>
    </row>
    <row r="187" spans="1:13" x14ac:dyDescent="0.2">
      <c r="A187" s="231"/>
      <c r="B187" s="9"/>
      <c r="C187" s="7"/>
      <c r="D187" s="8"/>
      <c r="E187" s="218"/>
      <c r="F187" s="218"/>
      <c r="G187" s="218"/>
      <c r="H187" s="218"/>
      <c r="I187" s="218"/>
      <c r="J187" s="218"/>
      <c r="K187" s="218"/>
      <c r="L187" s="218"/>
      <c r="M187" s="273"/>
    </row>
    <row r="188" spans="1:13" ht="36" x14ac:dyDescent="0.2">
      <c r="A188" s="231" t="s">
        <v>70</v>
      </c>
      <c r="B188" s="9" t="s">
        <v>330</v>
      </c>
      <c r="C188" s="7" t="s">
        <v>273</v>
      </c>
      <c r="D188" s="17" t="s">
        <v>17</v>
      </c>
      <c r="E188" s="218"/>
      <c r="F188" s="218"/>
      <c r="G188" s="218"/>
      <c r="H188" s="218"/>
      <c r="I188" s="218"/>
      <c r="J188" s="218"/>
      <c r="K188" s="218"/>
      <c r="L188" s="218"/>
      <c r="M188" s="272">
        <f>SUM(M190:M191)</f>
        <v>59.31</v>
      </c>
    </row>
    <row r="189" spans="1:13" x14ac:dyDescent="0.2">
      <c r="A189" s="231"/>
      <c r="B189" s="9"/>
      <c r="C189" s="7" t="s">
        <v>209</v>
      </c>
      <c r="D189" s="8"/>
      <c r="E189" s="218"/>
      <c r="F189" s="218"/>
      <c r="G189" s="218"/>
      <c r="H189" s="218"/>
      <c r="I189" s="218"/>
      <c r="J189" s="218"/>
      <c r="K189" s="218"/>
      <c r="L189" s="218"/>
      <c r="M189" s="273"/>
    </row>
    <row r="190" spans="1:13" x14ac:dyDescent="0.2">
      <c r="A190" s="231"/>
      <c r="B190" s="9"/>
      <c r="C190" s="7" t="s">
        <v>228</v>
      </c>
      <c r="D190" s="8"/>
      <c r="E190" s="218"/>
      <c r="F190" s="218"/>
      <c r="G190" s="218"/>
      <c r="H190" s="218"/>
      <c r="I190" s="218"/>
      <c r="J190" s="218">
        <v>57.07</v>
      </c>
      <c r="K190" s="218"/>
      <c r="L190" s="218"/>
      <c r="M190" s="273">
        <f>J190</f>
        <v>57.07</v>
      </c>
    </row>
    <row r="191" spans="1:13" x14ac:dyDescent="0.2">
      <c r="A191" s="231"/>
      <c r="B191" s="9"/>
      <c r="C191" s="7" t="s">
        <v>229</v>
      </c>
      <c r="D191" s="8"/>
      <c r="E191" s="218"/>
      <c r="F191" s="218"/>
      <c r="G191" s="218">
        <v>5.6</v>
      </c>
      <c r="H191" s="218"/>
      <c r="I191" s="218">
        <v>0.4</v>
      </c>
      <c r="J191" s="218"/>
      <c r="K191" s="218"/>
      <c r="L191" s="218"/>
      <c r="M191" s="273">
        <f>G191*I191</f>
        <v>2.2399999999999998</v>
      </c>
    </row>
    <row r="192" spans="1:13" x14ac:dyDescent="0.2">
      <c r="A192" s="231"/>
      <c r="B192" s="9"/>
      <c r="C192" s="7"/>
      <c r="D192" s="8"/>
      <c r="E192" s="218"/>
      <c r="F192" s="218"/>
      <c r="G192" s="218"/>
      <c r="H192" s="218"/>
      <c r="I192" s="218"/>
      <c r="J192" s="218"/>
      <c r="K192" s="218"/>
      <c r="L192" s="218"/>
      <c r="M192" s="273"/>
    </row>
    <row r="193" spans="1:13" ht="24" x14ac:dyDescent="0.2">
      <c r="A193" s="231" t="s">
        <v>14</v>
      </c>
      <c r="B193" s="9" t="s">
        <v>331</v>
      </c>
      <c r="C193" s="7" t="s">
        <v>15</v>
      </c>
      <c r="D193" s="17" t="s">
        <v>16</v>
      </c>
      <c r="E193" s="218"/>
      <c r="F193" s="218"/>
      <c r="G193" s="218"/>
      <c r="H193" s="218"/>
      <c r="I193" s="218"/>
      <c r="J193" s="218"/>
      <c r="K193" s="218"/>
      <c r="L193" s="218"/>
      <c r="M193" s="272">
        <f>SUM(M195:M207)</f>
        <v>44</v>
      </c>
    </row>
    <row r="194" spans="1:13" x14ac:dyDescent="0.2">
      <c r="A194" s="231"/>
      <c r="B194" s="9"/>
      <c r="C194" s="7" t="s">
        <v>150</v>
      </c>
      <c r="D194" s="8"/>
      <c r="E194" s="218"/>
      <c r="F194" s="218"/>
      <c r="G194" s="218"/>
      <c r="H194" s="218"/>
      <c r="I194" s="218"/>
      <c r="J194" s="218"/>
      <c r="K194" s="218"/>
      <c r="L194" s="218"/>
      <c r="M194" s="273"/>
    </row>
    <row r="195" spans="1:13" x14ac:dyDescent="0.2">
      <c r="A195" s="231"/>
      <c r="B195" s="9"/>
      <c r="C195" s="7" t="s">
        <v>189</v>
      </c>
      <c r="D195" s="8"/>
      <c r="E195" s="218">
        <v>5</v>
      </c>
      <c r="F195" s="218"/>
      <c r="G195" s="218"/>
      <c r="H195" s="218"/>
      <c r="I195" s="218"/>
      <c r="J195" s="218"/>
      <c r="K195" s="218"/>
      <c r="L195" s="218"/>
      <c r="M195" s="273">
        <f>E195</f>
        <v>5</v>
      </c>
    </row>
    <row r="196" spans="1:13" x14ac:dyDescent="0.2">
      <c r="A196" s="231"/>
      <c r="B196" s="9"/>
      <c r="C196" s="7" t="s">
        <v>190</v>
      </c>
      <c r="D196" s="8"/>
      <c r="E196" s="218">
        <v>4</v>
      </c>
      <c r="F196" s="218"/>
      <c r="G196" s="218"/>
      <c r="H196" s="218"/>
      <c r="I196" s="218"/>
      <c r="J196" s="218"/>
      <c r="K196" s="218"/>
      <c r="L196" s="218"/>
      <c r="M196" s="273">
        <f>E196</f>
        <v>4</v>
      </c>
    </row>
    <row r="197" spans="1:13" x14ac:dyDescent="0.2">
      <c r="A197" s="231"/>
      <c r="B197" s="9"/>
      <c r="C197" s="7"/>
      <c r="D197" s="8"/>
      <c r="E197" s="218"/>
      <c r="F197" s="218"/>
      <c r="G197" s="218"/>
      <c r="H197" s="218"/>
      <c r="I197" s="218"/>
      <c r="J197" s="218"/>
      <c r="K197" s="218"/>
      <c r="L197" s="218"/>
      <c r="M197" s="273"/>
    </row>
    <row r="198" spans="1:13" x14ac:dyDescent="0.2">
      <c r="A198" s="231"/>
      <c r="B198" s="9"/>
      <c r="C198" s="7" t="s">
        <v>151</v>
      </c>
      <c r="D198" s="8"/>
      <c r="E198" s="218"/>
      <c r="F198" s="218"/>
      <c r="G198" s="218"/>
      <c r="H198" s="218"/>
      <c r="I198" s="218"/>
      <c r="J198" s="218"/>
      <c r="K198" s="218"/>
      <c r="L198" s="218"/>
      <c r="M198" s="273"/>
    </row>
    <row r="199" spans="1:13" x14ac:dyDescent="0.2">
      <c r="A199" s="231"/>
      <c r="B199" s="9"/>
      <c r="C199" s="7" t="s">
        <v>189</v>
      </c>
      <c r="D199" s="8"/>
      <c r="E199" s="218">
        <v>7</v>
      </c>
      <c r="F199" s="218"/>
      <c r="G199" s="218"/>
      <c r="H199" s="218"/>
      <c r="I199" s="218"/>
      <c r="J199" s="218"/>
      <c r="K199" s="218"/>
      <c r="L199" s="218"/>
      <c r="M199" s="273">
        <f>E199</f>
        <v>7</v>
      </c>
    </row>
    <row r="200" spans="1:13" x14ac:dyDescent="0.2">
      <c r="A200" s="231"/>
      <c r="B200" s="9"/>
      <c r="C200" s="7" t="s">
        <v>190</v>
      </c>
      <c r="D200" s="8"/>
      <c r="E200" s="218">
        <v>7</v>
      </c>
      <c r="F200" s="218"/>
      <c r="G200" s="218"/>
      <c r="H200" s="218"/>
      <c r="I200" s="218"/>
      <c r="J200" s="218"/>
      <c r="K200" s="218"/>
      <c r="L200" s="218"/>
      <c r="M200" s="273">
        <f>E200</f>
        <v>7</v>
      </c>
    </row>
    <row r="201" spans="1:13" x14ac:dyDescent="0.2">
      <c r="A201" s="231"/>
      <c r="B201" s="9"/>
      <c r="C201" s="7"/>
      <c r="D201" s="8"/>
      <c r="E201" s="218"/>
      <c r="F201" s="218"/>
      <c r="G201" s="218"/>
      <c r="H201" s="218"/>
      <c r="I201" s="218"/>
      <c r="J201" s="218"/>
      <c r="K201" s="218"/>
      <c r="L201" s="218"/>
      <c r="M201" s="273"/>
    </row>
    <row r="202" spans="1:13" x14ac:dyDescent="0.2">
      <c r="A202" s="231"/>
      <c r="B202" s="9"/>
      <c r="C202" s="7" t="s">
        <v>179</v>
      </c>
      <c r="D202" s="8"/>
      <c r="E202" s="218"/>
      <c r="F202" s="218"/>
      <c r="G202" s="218"/>
      <c r="H202" s="218"/>
      <c r="I202" s="218"/>
      <c r="J202" s="218"/>
      <c r="K202" s="218"/>
      <c r="L202" s="218"/>
      <c r="M202" s="273"/>
    </row>
    <row r="203" spans="1:13" x14ac:dyDescent="0.2">
      <c r="A203" s="231"/>
      <c r="B203" s="9"/>
      <c r="C203" s="7" t="s">
        <v>189</v>
      </c>
      <c r="D203" s="8"/>
      <c r="E203" s="218">
        <v>9</v>
      </c>
      <c r="F203" s="218"/>
      <c r="G203" s="218"/>
      <c r="H203" s="218"/>
      <c r="I203" s="218"/>
      <c r="J203" s="218"/>
      <c r="K203" s="218"/>
      <c r="L203" s="218"/>
      <c r="M203" s="273">
        <f>E203</f>
        <v>9</v>
      </c>
    </row>
    <row r="204" spans="1:13" x14ac:dyDescent="0.2">
      <c r="A204" s="231"/>
      <c r="B204" s="9"/>
      <c r="C204" s="7"/>
      <c r="D204" s="8"/>
      <c r="E204" s="218"/>
      <c r="F204" s="218"/>
      <c r="G204" s="218"/>
      <c r="H204" s="218"/>
      <c r="I204" s="218"/>
      <c r="J204" s="218"/>
      <c r="K204" s="218"/>
      <c r="L204" s="218"/>
      <c r="M204" s="273"/>
    </row>
    <row r="205" spans="1:13" x14ac:dyDescent="0.2">
      <c r="A205" s="231"/>
      <c r="B205" s="9"/>
      <c r="C205" s="7" t="s">
        <v>152</v>
      </c>
      <c r="D205" s="8"/>
      <c r="E205" s="218"/>
      <c r="F205" s="218"/>
      <c r="G205" s="218"/>
      <c r="H205" s="218"/>
      <c r="I205" s="218"/>
      <c r="J205" s="218"/>
      <c r="K205" s="218"/>
      <c r="L205" s="218"/>
      <c r="M205" s="273"/>
    </row>
    <row r="206" spans="1:13" x14ac:dyDescent="0.2">
      <c r="A206" s="231"/>
      <c r="B206" s="9"/>
      <c r="C206" s="7" t="s">
        <v>189</v>
      </c>
      <c r="D206" s="8"/>
      <c r="E206" s="218">
        <v>9</v>
      </c>
      <c r="F206" s="218"/>
      <c r="G206" s="218"/>
      <c r="H206" s="218"/>
      <c r="I206" s="218"/>
      <c r="J206" s="218"/>
      <c r="K206" s="218"/>
      <c r="L206" s="218"/>
      <c r="M206" s="273">
        <f>E206</f>
        <v>9</v>
      </c>
    </row>
    <row r="207" spans="1:13" x14ac:dyDescent="0.2">
      <c r="A207" s="231"/>
      <c r="B207" s="9"/>
      <c r="C207" s="7" t="s">
        <v>190</v>
      </c>
      <c r="D207" s="8"/>
      <c r="E207" s="218">
        <v>3</v>
      </c>
      <c r="F207" s="218"/>
      <c r="G207" s="218"/>
      <c r="H207" s="218"/>
      <c r="I207" s="218"/>
      <c r="J207" s="218"/>
      <c r="K207" s="218"/>
      <c r="L207" s="218"/>
      <c r="M207" s="273">
        <f>E207</f>
        <v>3</v>
      </c>
    </row>
    <row r="208" spans="1:13" x14ac:dyDescent="0.2">
      <c r="A208" s="231"/>
      <c r="B208" s="9"/>
      <c r="C208" s="7"/>
      <c r="D208" s="8"/>
      <c r="E208" s="218"/>
      <c r="F208" s="218"/>
      <c r="G208" s="218"/>
      <c r="H208" s="218"/>
      <c r="I208" s="218"/>
      <c r="J208" s="218"/>
      <c r="K208" s="218"/>
      <c r="L208" s="218"/>
      <c r="M208" s="273"/>
    </row>
    <row r="209" spans="1:13" ht="24" x14ac:dyDescent="0.2">
      <c r="A209" s="231">
        <v>97663</v>
      </c>
      <c r="B209" s="9" t="s">
        <v>332</v>
      </c>
      <c r="C209" s="7" t="s">
        <v>192</v>
      </c>
      <c r="D209" s="17" t="s">
        <v>16</v>
      </c>
      <c r="E209" s="218"/>
      <c r="F209" s="218"/>
      <c r="G209" s="218"/>
      <c r="H209" s="218"/>
      <c r="I209" s="218"/>
      <c r="J209" s="218"/>
      <c r="K209" s="218"/>
      <c r="L209" s="218"/>
      <c r="M209" s="272">
        <f>SUM(M210)</f>
        <v>5</v>
      </c>
    </row>
    <row r="210" spans="1:13" x14ac:dyDescent="0.2">
      <c r="A210" s="231"/>
      <c r="B210" s="9"/>
      <c r="C210" s="7" t="s">
        <v>151</v>
      </c>
      <c r="D210" s="8"/>
      <c r="E210" s="218">
        <v>5</v>
      </c>
      <c r="F210" s="218"/>
      <c r="G210" s="218"/>
      <c r="H210" s="218"/>
      <c r="I210" s="218"/>
      <c r="J210" s="218"/>
      <c r="K210" s="218"/>
      <c r="L210" s="218"/>
      <c r="M210" s="273">
        <f>E210</f>
        <v>5</v>
      </c>
    </row>
    <row r="211" spans="1:13" x14ac:dyDescent="0.2">
      <c r="A211" s="231"/>
      <c r="B211" s="9"/>
      <c r="C211" s="7"/>
      <c r="D211" s="8"/>
      <c r="E211" s="218"/>
      <c r="F211" s="218"/>
      <c r="G211" s="218"/>
      <c r="H211" s="218"/>
      <c r="I211" s="218"/>
      <c r="J211" s="218"/>
      <c r="K211" s="218"/>
      <c r="L211" s="218"/>
      <c r="M211" s="273"/>
    </row>
    <row r="212" spans="1:13" x14ac:dyDescent="0.2">
      <c r="A212" s="231" t="s">
        <v>48</v>
      </c>
      <c r="B212" s="9" t="s">
        <v>333</v>
      </c>
      <c r="C212" s="7" t="s">
        <v>49</v>
      </c>
      <c r="D212" s="17" t="s">
        <v>16</v>
      </c>
      <c r="E212" s="218"/>
      <c r="F212" s="218"/>
      <c r="G212" s="218"/>
      <c r="H212" s="218"/>
      <c r="I212" s="218"/>
      <c r="J212" s="218"/>
      <c r="K212" s="218"/>
      <c r="L212" s="218"/>
      <c r="M212" s="272">
        <f>SUM(M214:M216)</f>
        <v>14</v>
      </c>
    </row>
    <row r="213" spans="1:13" x14ac:dyDescent="0.2">
      <c r="A213" s="231"/>
      <c r="B213" s="9"/>
      <c r="C213" s="7"/>
      <c r="D213" s="17"/>
      <c r="E213" s="218"/>
      <c r="F213" s="218"/>
      <c r="G213" s="218"/>
      <c r="H213" s="218"/>
      <c r="I213" s="218"/>
      <c r="J213" s="218"/>
      <c r="K213" s="218"/>
      <c r="L213" s="218"/>
      <c r="M213" s="277"/>
    </row>
    <row r="214" spans="1:13" x14ac:dyDescent="0.2">
      <c r="A214" s="231"/>
      <c r="B214" s="9"/>
      <c r="C214" s="7" t="s">
        <v>150</v>
      </c>
      <c r="D214" s="8"/>
      <c r="E214" s="218">
        <v>4</v>
      </c>
      <c r="F214" s="218"/>
      <c r="G214" s="218"/>
      <c r="H214" s="218"/>
      <c r="I214" s="218"/>
      <c r="J214" s="218"/>
      <c r="K214" s="218"/>
      <c r="L214" s="218"/>
      <c r="M214" s="273">
        <f>E214</f>
        <v>4</v>
      </c>
    </row>
    <row r="215" spans="1:13" x14ac:dyDescent="0.2">
      <c r="A215" s="231"/>
      <c r="B215" s="9"/>
      <c r="C215" s="7" t="s">
        <v>151</v>
      </c>
      <c r="D215" s="8"/>
      <c r="E215" s="218">
        <v>5</v>
      </c>
      <c r="F215" s="218"/>
      <c r="G215" s="218"/>
      <c r="H215" s="218"/>
      <c r="I215" s="218"/>
      <c r="J215" s="218"/>
      <c r="K215" s="218"/>
      <c r="L215" s="218"/>
      <c r="M215" s="273">
        <f>E215</f>
        <v>5</v>
      </c>
    </row>
    <row r="216" spans="1:13" x14ac:dyDescent="0.2">
      <c r="A216" s="231"/>
      <c r="B216" s="9"/>
      <c r="C216" s="7" t="s">
        <v>152</v>
      </c>
      <c r="D216" s="8"/>
      <c r="E216" s="218">
        <v>5</v>
      </c>
      <c r="F216" s="218"/>
      <c r="G216" s="218"/>
      <c r="H216" s="218"/>
      <c r="I216" s="218"/>
      <c r="J216" s="218"/>
      <c r="K216" s="218"/>
      <c r="L216" s="218"/>
      <c r="M216" s="273">
        <f>E216</f>
        <v>5</v>
      </c>
    </row>
    <row r="217" spans="1:13" x14ac:dyDescent="0.2">
      <c r="A217" s="231"/>
      <c r="B217" s="9"/>
      <c r="C217" s="7"/>
      <c r="D217" s="8"/>
      <c r="E217" s="218"/>
      <c r="F217" s="218"/>
      <c r="G217" s="218"/>
      <c r="H217" s="218"/>
      <c r="I217" s="218"/>
      <c r="J217" s="218"/>
      <c r="K217" s="218"/>
      <c r="L217" s="218"/>
      <c r="M217" s="273"/>
    </row>
    <row r="218" spans="1:13" ht="24" x14ac:dyDescent="0.2">
      <c r="A218" s="231" t="s">
        <v>50</v>
      </c>
      <c r="B218" s="9" t="s">
        <v>334</v>
      </c>
      <c r="C218" s="7" t="s">
        <v>51</v>
      </c>
      <c r="D218" s="17" t="s">
        <v>45</v>
      </c>
      <c r="E218" s="218"/>
      <c r="F218" s="218"/>
      <c r="G218" s="218"/>
      <c r="H218" s="218"/>
      <c r="I218" s="218"/>
      <c r="J218" s="218"/>
      <c r="K218" s="218"/>
      <c r="L218" s="218"/>
      <c r="M218" s="272">
        <f>SUM(M220,M223)</f>
        <v>8.74</v>
      </c>
    </row>
    <row r="219" spans="1:13" x14ac:dyDescent="0.2">
      <c r="A219" s="231"/>
      <c r="B219" s="9"/>
      <c r="C219" s="7" t="s">
        <v>150</v>
      </c>
      <c r="D219" s="8"/>
      <c r="E219" s="218"/>
      <c r="F219" s="218"/>
      <c r="G219" s="218"/>
      <c r="H219" s="218"/>
      <c r="I219" s="218"/>
      <c r="J219" s="218"/>
      <c r="K219" s="218"/>
      <c r="L219" s="218"/>
      <c r="M219" s="273"/>
    </row>
    <row r="220" spans="1:13" x14ac:dyDescent="0.2">
      <c r="A220" s="236"/>
      <c r="B220" s="344"/>
      <c r="C220" s="345" t="s">
        <v>191</v>
      </c>
      <c r="D220" s="346"/>
      <c r="E220" s="347"/>
      <c r="F220" s="347"/>
      <c r="G220" s="347">
        <v>4.54</v>
      </c>
      <c r="H220" s="347"/>
      <c r="I220" s="347"/>
      <c r="J220" s="347"/>
      <c r="K220" s="347"/>
      <c r="L220" s="347"/>
      <c r="M220" s="342">
        <f>G220</f>
        <v>4.54</v>
      </c>
    </row>
    <row r="221" spans="1:13" x14ac:dyDescent="0.2">
      <c r="A221" s="231"/>
      <c r="B221" s="9"/>
      <c r="C221" s="7"/>
      <c r="D221" s="8"/>
      <c r="E221" s="218"/>
      <c r="F221" s="218"/>
      <c r="G221" s="218"/>
      <c r="H221" s="218"/>
      <c r="I221" s="218"/>
      <c r="J221" s="218"/>
      <c r="K221" s="218"/>
      <c r="L221" s="218"/>
      <c r="M221" s="273"/>
    </row>
    <row r="222" spans="1:13" x14ac:dyDescent="0.2">
      <c r="A222" s="231"/>
      <c r="B222" s="9"/>
      <c r="C222" s="7" t="s">
        <v>152</v>
      </c>
      <c r="D222" s="8"/>
      <c r="E222" s="218"/>
      <c r="F222" s="218"/>
      <c r="G222" s="218"/>
      <c r="H222" s="218"/>
      <c r="I222" s="218"/>
      <c r="J222" s="218"/>
      <c r="K222" s="218"/>
      <c r="L222" s="218"/>
      <c r="M222" s="273"/>
    </row>
    <row r="223" spans="1:13" x14ac:dyDescent="0.2">
      <c r="A223" s="231"/>
      <c r="B223" s="9"/>
      <c r="C223" s="7" t="s">
        <v>230</v>
      </c>
      <c r="D223" s="8"/>
      <c r="E223" s="218"/>
      <c r="F223" s="218"/>
      <c r="G223" s="218">
        <v>4.2</v>
      </c>
      <c r="H223" s="218"/>
      <c r="I223" s="218"/>
      <c r="J223" s="218"/>
      <c r="K223" s="218"/>
      <c r="L223" s="218"/>
      <c r="M223" s="273">
        <f>G223</f>
        <v>4.2</v>
      </c>
    </row>
    <row r="224" spans="1:13" x14ac:dyDescent="0.2">
      <c r="A224" s="231"/>
      <c r="B224" s="9"/>
      <c r="C224" s="7"/>
      <c r="D224" s="8"/>
      <c r="E224" s="218"/>
      <c r="F224" s="218"/>
      <c r="G224" s="218"/>
      <c r="H224" s="218"/>
      <c r="I224" s="218"/>
      <c r="J224" s="218"/>
      <c r="K224" s="218"/>
      <c r="L224" s="218"/>
      <c r="M224" s="273"/>
    </row>
    <row r="225" spans="1:13" ht="24" x14ac:dyDescent="0.2">
      <c r="A225" s="231" t="s">
        <v>172</v>
      </c>
      <c r="B225" s="9" t="s">
        <v>335</v>
      </c>
      <c r="C225" s="7" t="s">
        <v>173</v>
      </c>
      <c r="D225" s="17" t="s">
        <v>17</v>
      </c>
      <c r="E225" s="218"/>
      <c r="F225" s="218"/>
      <c r="G225" s="218"/>
      <c r="H225" s="218"/>
      <c r="I225" s="218"/>
      <c r="J225" s="218"/>
      <c r="K225" s="218"/>
      <c r="L225" s="218"/>
      <c r="M225" s="272">
        <f>SUM(M227:M232)</f>
        <v>55.899999999999991</v>
      </c>
    </row>
    <row r="226" spans="1:13" x14ac:dyDescent="0.2">
      <c r="A226" s="231"/>
      <c r="B226" s="9"/>
      <c r="C226" s="7"/>
      <c r="D226" s="17"/>
      <c r="E226" s="218"/>
      <c r="F226" s="218"/>
      <c r="G226" s="218"/>
      <c r="H226" s="218"/>
      <c r="I226" s="218"/>
      <c r="J226" s="218"/>
      <c r="K226" s="218"/>
      <c r="L226" s="218"/>
      <c r="M226" s="277"/>
    </row>
    <row r="227" spans="1:13" x14ac:dyDescent="0.2">
      <c r="A227" s="231"/>
      <c r="B227" s="9"/>
      <c r="C227" s="7" t="s">
        <v>231</v>
      </c>
      <c r="D227" s="8"/>
      <c r="E227" s="218"/>
      <c r="F227" s="218"/>
      <c r="G227" s="218"/>
      <c r="H227" s="218"/>
      <c r="I227" s="218"/>
      <c r="J227" s="218"/>
      <c r="K227" s="218"/>
      <c r="L227" s="218"/>
      <c r="M227" s="273">
        <f>SUM(M228:M230)</f>
        <v>23.259999999999998</v>
      </c>
    </row>
    <row r="228" spans="1:13" x14ac:dyDescent="0.2">
      <c r="A228" s="231"/>
      <c r="B228" s="9"/>
      <c r="C228" s="7" t="s">
        <v>232</v>
      </c>
      <c r="D228" s="8"/>
      <c r="E228" s="218"/>
      <c r="F228" s="218"/>
      <c r="G228" s="218">
        <v>7.28</v>
      </c>
      <c r="H228" s="218"/>
      <c r="I228" s="218">
        <v>2</v>
      </c>
      <c r="J228" s="218"/>
      <c r="K228" s="218"/>
      <c r="L228" s="218"/>
      <c r="M228" s="273">
        <f>G228*I228</f>
        <v>14.56</v>
      </c>
    </row>
    <row r="229" spans="1:13" x14ac:dyDescent="0.2">
      <c r="A229" s="231"/>
      <c r="B229" s="9"/>
      <c r="C229" s="7" t="s">
        <v>233</v>
      </c>
      <c r="D229" s="8"/>
      <c r="E229" s="218"/>
      <c r="F229" s="218"/>
      <c r="G229" s="218"/>
      <c r="H229" s="218"/>
      <c r="I229" s="218"/>
      <c r="J229" s="218">
        <v>4.2300000000000004</v>
      </c>
      <c r="K229" s="218"/>
      <c r="L229" s="218"/>
      <c r="M229" s="273">
        <f>J229</f>
        <v>4.2300000000000004</v>
      </c>
    </row>
    <row r="230" spans="1:13" x14ac:dyDescent="0.2">
      <c r="A230" s="231"/>
      <c r="B230" s="9"/>
      <c r="C230" s="7" t="s">
        <v>234</v>
      </c>
      <c r="D230" s="8"/>
      <c r="E230" s="218"/>
      <c r="F230" s="218"/>
      <c r="G230" s="218">
        <v>14.9</v>
      </c>
      <c r="H230" s="218"/>
      <c r="I230" s="218">
        <v>0.3</v>
      </c>
      <c r="J230" s="218"/>
      <c r="K230" s="218"/>
      <c r="L230" s="218"/>
      <c r="M230" s="273">
        <f>G230*I230</f>
        <v>4.47</v>
      </c>
    </row>
    <row r="231" spans="1:13" x14ac:dyDescent="0.2">
      <c r="A231" s="231"/>
      <c r="B231" s="9"/>
      <c r="C231" s="7" t="s">
        <v>235</v>
      </c>
      <c r="D231" s="8"/>
      <c r="E231" s="218"/>
      <c r="F231" s="218">
        <v>2.65</v>
      </c>
      <c r="G231" s="218"/>
      <c r="H231" s="218"/>
      <c r="I231" s="218">
        <v>2.2000000000000002</v>
      </c>
      <c r="J231" s="218"/>
      <c r="K231" s="218"/>
      <c r="L231" s="218"/>
      <c r="M231" s="273">
        <f>F231*I231</f>
        <v>5.83</v>
      </c>
    </row>
    <row r="232" spans="1:13" x14ac:dyDescent="0.2">
      <c r="A232" s="231"/>
      <c r="B232" s="9"/>
      <c r="C232" s="7" t="s">
        <v>152</v>
      </c>
      <c r="D232" s="8"/>
      <c r="E232" s="218"/>
      <c r="F232" s="218">
        <v>3.55</v>
      </c>
      <c r="G232" s="218"/>
      <c r="H232" s="218"/>
      <c r="I232" s="218">
        <v>1</v>
      </c>
      <c r="J232" s="218"/>
      <c r="K232" s="218"/>
      <c r="L232" s="218"/>
      <c r="M232" s="273">
        <f>F232*I232</f>
        <v>3.55</v>
      </c>
    </row>
    <row r="233" spans="1:13" x14ac:dyDescent="0.2">
      <c r="A233" s="231"/>
      <c r="B233" s="9"/>
      <c r="C233" s="7"/>
      <c r="D233" s="8"/>
      <c r="E233" s="218"/>
      <c r="F233" s="218"/>
      <c r="G233" s="218"/>
      <c r="H233" s="218"/>
      <c r="I233" s="218"/>
      <c r="J233" s="218"/>
      <c r="K233" s="218"/>
      <c r="L233" s="218"/>
      <c r="M233" s="273"/>
    </row>
    <row r="234" spans="1:13" x14ac:dyDescent="0.2">
      <c r="A234" s="274"/>
      <c r="B234" s="29" t="s">
        <v>6</v>
      </c>
      <c r="C234" s="30" t="s">
        <v>59</v>
      </c>
      <c r="D234" s="31"/>
      <c r="E234" s="31"/>
      <c r="F234" s="31"/>
      <c r="G234" s="31"/>
      <c r="H234" s="31"/>
      <c r="I234" s="31"/>
      <c r="J234" s="31"/>
      <c r="K234" s="31"/>
      <c r="L234" s="31"/>
      <c r="M234" s="275"/>
    </row>
    <row r="235" spans="1:13" ht="120" x14ac:dyDescent="0.2">
      <c r="A235" s="231" t="s">
        <v>60</v>
      </c>
      <c r="B235" s="9" t="s">
        <v>303</v>
      </c>
      <c r="C235" s="7" t="s">
        <v>274</v>
      </c>
      <c r="D235" s="17" t="s">
        <v>61</v>
      </c>
      <c r="E235" s="218"/>
      <c r="F235" s="218"/>
      <c r="G235" s="218"/>
      <c r="H235" s="218"/>
      <c r="I235" s="218"/>
      <c r="J235" s="218"/>
      <c r="K235" s="218"/>
      <c r="L235" s="218"/>
      <c r="M235" s="272">
        <f>SUM(M236)</f>
        <v>760.72499999999991</v>
      </c>
    </row>
    <row r="236" spans="1:13" x14ac:dyDescent="0.2">
      <c r="A236" s="231"/>
      <c r="B236" s="9"/>
      <c r="C236" s="7"/>
      <c r="D236" s="8"/>
      <c r="E236" s="218">
        <v>5</v>
      </c>
      <c r="F236" s="218">
        <v>20.7</v>
      </c>
      <c r="G236" s="218"/>
      <c r="H236" s="218"/>
      <c r="I236" s="218">
        <v>7.35</v>
      </c>
      <c r="J236" s="218"/>
      <c r="K236" s="218"/>
      <c r="L236" s="218"/>
      <c r="M236" s="273">
        <f>E236*F236*I236</f>
        <v>760.72499999999991</v>
      </c>
    </row>
    <row r="237" spans="1:13" x14ac:dyDescent="0.2">
      <c r="A237" s="236"/>
      <c r="B237" s="16"/>
      <c r="C237" s="129"/>
      <c r="D237" s="221"/>
      <c r="E237" s="214"/>
      <c r="F237" s="214"/>
      <c r="G237" s="214"/>
      <c r="H237" s="214"/>
      <c r="I237" s="214"/>
      <c r="J237" s="214"/>
      <c r="K237" s="214"/>
      <c r="L237" s="214"/>
      <c r="M237" s="339"/>
    </row>
    <row r="238" spans="1:13" ht="48" x14ac:dyDescent="0.2">
      <c r="A238" s="231" t="s">
        <v>62</v>
      </c>
      <c r="B238" s="9" t="s">
        <v>336</v>
      </c>
      <c r="C238" s="7" t="s">
        <v>275</v>
      </c>
      <c r="D238" s="17" t="s">
        <v>63</v>
      </c>
      <c r="E238" s="218"/>
      <c r="F238" s="218"/>
      <c r="G238" s="218"/>
      <c r="H238" s="218"/>
      <c r="I238" s="218"/>
      <c r="J238" s="218"/>
      <c r="K238" s="218"/>
      <c r="L238" s="218"/>
      <c r="M238" s="272">
        <f>SUM(M239)</f>
        <v>7607.25</v>
      </c>
    </row>
    <row r="239" spans="1:13" x14ac:dyDescent="0.2">
      <c r="A239" s="231"/>
      <c r="B239" s="9"/>
      <c r="C239" s="7"/>
      <c r="D239" s="17"/>
      <c r="E239" s="218"/>
      <c r="F239" s="218">
        <v>20.7</v>
      </c>
      <c r="G239" s="218">
        <v>50</v>
      </c>
      <c r="H239" s="218"/>
      <c r="I239" s="218">
        <v>7.35</v>
      </c>
      <c r="J239" s="218"/>
      <c r="K239" s="218"/>
      <c r="L239" s="218"/>
      <c r="M239" s="273">
        <f>F239*G239*I239</f>
        <v>7607.25</v>
      </c>
    </row>
    <row r="240" spans="1:13" x14ac:dyDescent="0.2">
      <c r="A240" s="231"/>
      <c r="B240" s="9"/>
      <c r="C240" s="7"/>
      <c r="D240" s="8"/>
      <c r="E240" s="218"/>
      <c r="F240" s="218"/>
      <c r="G240" s="218"/>
      <c r="H240" s="218"/>
      <c r="I240" s="218"/>
      <c r="J240" s="218"/>
      <c r="K240" s="218"/>
      <c r="L240" s="218"/>
      <c r="M240" s="273"/>
    </row>
    <row r="241" spans="1:13" x14ac:dyDescent="0.2">
      <c r="A241" s="231"/>
      <c r="B241" s="9"/>
      <c r="C241" s="7"/>
      <c r="D241" s="8"/>
      <c r="E241" s="218"/>
      <c r="F241" s="218"/>
      <c r="G241" s="218"/>
      <c r="H241" s="218"/>
      <c r="I241" s="218"/>
      <c r="J241" s="218"/>
      <c r="K241" s="218"/>
      <c r="L241" s="218"/>
      <c r="M241" s="273"/>
    </row>
    <row r="242" spans="1:13" ht="36" x14ac:dyDescent="0.2">
      <c r="A242" s="231" t="s">
        <v>64</v>
      </c>
      <c r="B242" s="9" t="s">
        <v>337</v>
      </c>
      <c r="C242" s="7" t="s">
        <v>276</v>
      </c>
      <c r="D242" s="17" t="s">
        <v>17</v>
      </c>
      <c r="E242" s="218"/>
      <c r="F242" s="218"/>
      <c r="G242" s="218"/>
      <c r="H242" s="218"/>
      <c r="I242" s="218"/>
      <c r="J242" s="218"/>
      <c r="K242" s="218"/>
      <c r="L242" s="218"/>
      <c r="M242" s="272">
        <f>SUM(M243)</f>
        <v>152.14499999999998</v>
      </c>
    </row>
    <row r="243" spans="1:13" x14ac:dyDescent="0.2">
      <c r="A243" s="231"/>
      <c r="B243" s="9"/>
      <c r="C243" s="7"/>
      <c r="D243" s="17"/>
      <c r="E243" s="218"/>
      <c r="F243" s="218">
        <v>20.7</v>
      </c>
      <c r="G243" s="218"/>
      <c r="H243" s="218"/>
      <c r="I243" s="218">
        <v>7.35</v>
      </c>
      <c r="J243" s="218"/>
      <c r="K243" s="218"/>
      <c r="L243" s="218"/>
      <c r="M243" s="273">
        <f>F243*I243</f>
        <v>152.14499999999998</v>
      </c>
    </row>
    <row r="244" spans="1:13" ht="13.5" customHeight="1" x14ac:dyDescent="0.2">
      <c r="A244" s="231"/>
      <c r="B244" s="9"/>
      <c r="C244" s="7"/>
      <c r="D244" s="8"/>
      <c r="E244" s="218"/>
      <c r="F244" s="218"/>
      <c r="G244" s="218"/>
      <c r="H244" s="218"/>
      <c r="I244" s="218"/>
      <c r="J244" s="218"/>
      <c r="K244" s="218"/>
      <c r="L244" s="218"/>
      <c r="M244" s="273"/>
    </row>
    <row r="245" spans="1:13" x14ac:dyDescent="0.2">
      <c r="A245" s="231"/>
      <c r="B245" s="9"/>
      <c r="C245" s="7"/>
      <c r="D245" s="8"/>
      <c r="E245" s="218"/>
      <c r="F245" s="218"/>
      <c r="G245" s="218"/>
      <c r="H245" s="218"/>
      <c r="I245" s="218"/>
      <c r="J245" s="218"/>
      <c r="K245" s="218"/>
      <c r="L245" s="218"/>
      <c r="M245" s="273"/>
    </row>
    <row r="246" spans="1:13" ht="48" x14ac:dyDescent="0.2">
      <c r="A246" s="231" t="s">
        <v>65</v>
      </c>
      <c r="B246" s="9" t="s">
        <v>338</v>
      </c>
      <c r="C246" s="7" t="s">
        <v>277</v>
      </c>
      <c r="D246" s="17" t="s">
        <v>17</v>
      </c>
      <c r="E246" s="218"/>
      <c r="F246" s="218"/>
      <c r="G246" s="218"/>
      <c r="H246" s="218"/>
      <c r="I246" s="218"/>
      <c r="J246" s="218"/>
      <c r="K246" s="218"/>
      <c r="L246" s="218"/>
      <c r="M246" s="272">
        <f>SUM(M247)</f>
        <v>24.84</v>
      </c>
    </row>
    <row r="247" spans="1:13" x14ac:dyDescent="0.2">
      <c r="A247" s="231"/>
      <c r="B247" s="9"/>
      <c r="C247" s="7"/>
      <c r="D247" s="8"/>
      <c r="E247" s="218"/>
      <c r="F247" s="218">
        <v>20.7</v>
      </c>
      <c r="G247" s="218"/>
      <c r="H247" s="218">
        <v>1.2</v>
      </c>
      <c r="I247" s="218"/>
      <c r="J247" s="218"/>
      <c r="K247" s="218"/>
      <c r="L247" s="218"/>
      <c r="M247" s="273">
        <f>F247*H247</f>
        <v>24.84</v>
      </c>
    </row>
    <row r="248" spans="1:13" x14ac:dyDescent="0.2">
      <c r="A248" s="231"/>
      <c r="B248" s="9"/>
      <c r="C248" s="7"/>
      <c r="D248" s="8"/>
      <c r="E248" s="218"/>
      <c r="F248" s="218"/>
      <c r="G248" s="218"/>
      <c r="H248" s="218"/>
      <c r="I248" s="218"/>
      <c r="J248" s="218"/>
      <c r="K248" s="218"/>
      <c r="L248" s="218"/>
      <c r="M248" s="273"/>
    </row>
    <row r="249" spans="1:13" ht="36" x14ac:dyDescent="0.2">
      <c r="A249" s="231" t="s">
        <v>66</v>
      </c>
      <c r="B249" s="9" t="s">
        <v>339</v>
      </c>
      <c r="C249" s="7" t="s">
        <v>67</v>
      </c>
      <c r="D249" s="17" t="s">
        <v>17</v>
      </c>
      <c r="E249" s="218"/>
      <c r="F249" s="218"/>
      <c r="G249" s="218"/>
      <c r="H249" s="218"/>
      <c r="I249" s="218"/>
      <c r="J249" s="218"/>
      <c r="K249" s="218"/>
      <c r="L249" s="218"/>
      <c r="M249" s="272">
        <f>SUM(M250)</f>
        <v>152.14499999999998</v>
      </c>
    </row>
    <row r="250" spans="1:13" x14ac:dyDescent="0.2">
      <c r="A250" s="231"/>
      <c r="B250" s="9"/>
      <c r="C250" s="7"/>
      <c r="D250" s="8"/>
      <c r="E250" s="218"/>
      <c r="F250" s="218">
        <v>20.7</v>
      </c>
      <c r="G250" s="218"/>
      <c r="H250" s="218"/>
      <c r="I250" s="218">
        <v>7.35</v>
      </c>
      <c r="J250" s="218"/>
      <c r="K250" s="218"/>
      <c r="L250" s="218"/>
      <c r="M250" s="273">
        <f>F250*I250</f>
        <v>152.14499999999998</v>
      </c>
    </row>
    <row r="251" spans="1:13" x14ac:dyDescent="0.2">
      <c r="A251" s="231"/>
      <c r="B251" s="9"/>
      <c r="C251" s="7"/>
      <c r="D251" s="8"/>
      <c r="E251" s="218"/>
      <c r="F251" s="218"/>
      <c r="G251" s="218"/>
      <c r="H251" s="218"/>
      <c r="I251" s="218"/>
      <c r="J251" s="218"/>
      <c r="K251" s="218"/>
      <c r="L251" s="218"/>
      <c r="M251" s="273"/>
    </row>
    <row r="252" spans="1:13" ht="36" x14ac:dyDescent="0.2">
      <c r="A252" s="231" t="s">
        <v>236</v>
      </c>
      <c r="B252" s="9" t="s">
        <v>340</v>
      </c>
      <c r="C252" s="7" t="s">
        <v>237</v>
      </c>
      <c r="D252" s="17" t="s">
        <v>238</v>
      </c>
      <c r="E252" s="218"/>
      <c r="F252" s="218"/>
      <c r="G252" s="218"/>
      <c r="H252" s="218"/>
      <c r="I252" s="218"/>
      <c r="J252" s="218"/>
      <c r="K252" s="218"/>
      <c r="L252" s="218"/>
      <c r="M252" s="272">
        <f>SUM(M253)</f>
        <v>2</v>
      </c>
    </row>
    <row r="253" spans="1:13" x14ac:dyDescent="0.2">
      <c r="A253" s="231"/>
      <c r="B253" s="9"/>
      <c r="C253" s="7" t="s">
        <v>239</v>
      </c>
      <c r="D253" s="8"/>
      <c r="E253" s="218">
        <v>2</v>
      </c>
      <c r="F253" s="218"/>
      <c r="G253" s="218"/>
      <c r="H253" s="218"/>
      <c r="I253" s="218"/>
      <c r="J253" s="218"/>
      <c r="K253" s="218"/>
      <c r="L253" s="218"/>
      <c r="M253" s="273">
        <f>E253</f>
        <v>2</v>
      </c>
    </row>
    <row r="254" spans="1:13" x14ac:dyDescent="0.2">
      <c r="A254" s="231"/>
      <c r="B254" s="9"/>
      <c r="C254" s="7"/>
      <c r="D254" s="8"/>
      <c r="E254" s="218"/>
      <c r="F254" s="218"/>
      <c r="G254" s="218"/>
      <c r="H254" s="218"/>
      <c r="I254" s="218"/>
      <c r="J254" s="218"/>
      <c r="K254" s="218"/>
      <c r="L254" s="218"/>
      <c r="M254" s="273"/>
    </row>
    <row r="255" spans="1:13" ht="24" x14ac:dyDescent="0.2">
      <c r="A255" s="231" t="s">
        <v>68</v>
      </c>
      <c r="B255" s="9" t="s">
        <v>341</v>
      </c>
      <c r="C255" s="7" t="s">
        <v>69</v>
      </c>
      <c r="D255" s="17" t="s">
        <v>16</v>
      </c>
      <c r="E255" s="218"/>
      <c r="F255" s="218"/>
      <c r="G255" s="218"/>
      <c r="H255" s="218"/>
      <c r="I255" s="218"/>
      <c r="J255" s="218"/>
      <c r="K255" s="218"/>
      <c r="L255" s="218"/>
      <c r="M255" s="272">
        <f>SUM(M256)</f>
        <v>4</v>
      </c>
    </row>
    <row r="256" spans="1:13" x14ac:dyDescent="0.2">
      <c r="A256" s="231"/>
      <c r="B256" s="9"/>
      <c r="C256" s="7"/>
      <c r="D256" s="8"/>
      <c r="E256" s="218">
        <v>4</v>
      </c>
      <c r="F256" s="218"/>
      <c r="G256" s="218"/>
      <c r="H256" s="218"/>
      <c r="I256" s="218"/>
      <c r="J256" s="218"/>
      <c r="K256" s="218"/>
      <c r="L256" s="218"/>
      <c r="M256" s="273">
        <f>E256</f>
        <v>4</v>
      </c>
    </row>
    <row r="257" spans="1:13" x14ac:dyDescent="0.2">
      <c r="A257" s="231"/>
      <c r="B257" s="18"/>
      <c r="C257" s="12"/>
      <c r="D257" s="13"/>
      <c r="E257" s="218"/>
      <c r="F257" s="218"/>
      <c r="G257" s="218"/>
      <c r="H257" s="218"/>
      <c r="I257" s="218"/>
      <c r="J257" s="218"/>
      <c r="K257" s="218"/>
      <c r="L257" s="218"/>
      <c r="M257" s="273"/>
    </row>
    <row r="258" spans="1:13" x14ac:dyDescent="0.2">
      <c r="A258" s="274"/>
      <c r="B258" s="29" t="s">
        <v>8</v>
      </c>
      <c r="C258" s="30" t="s">
        <v>7</v>
      </c>
      <c r="D258" s="31"/>
      <c r="E258" s="31"/>
      <c r="F258" s="31"/>
      <c r="G258" s="31"/>
      <c r="H258" s="31"/>
      <c r="I258" s="31"/>
      <c r="J258" s="31"/>
      <c r="K258" s="31"/>
      <c r="L258" s="31"/>
      <c r="M258" s="275"/>
    </row>
    <row r="259" spans="1:13" ht="36" x14ac:dyDescent="0.2">
      <c r="A259" s="231" t="s">
        <v>52</v>
      </c>
      <c r="B259" s="9" t="s">
        <v>304</v>
      </c>
      <c r="C259" s="7" t="s">
        <v>278</v>
      </c>
      <c r="D259" s="17" t="s">
        <v>38</v>
      </c>
      <c r="E259" s="218"/>
      <c r="F259" s="218"/>
      <c r="G259" s="218"/>
      <c r="H259" s="218"/>
      <c r="I259" s="218"/>
      <c r="J259" s="218"/>
      <c r="K259" s="218"/>
      <c r="L259" s="218"/>
      <c r="M259" s="272">
        <f>SUM(M260)</f>
        <v>30.89</v>
      </c>
    </row>
    <row r="260" spans="1:13" ht="48" x14ac:dyDescent="0.2">
      <c r="A260" s="231"/>
      <c r="B260" s="9"/>
      <c r="C260" s="7" t="s">
        <v>644</v>
      </c>
      <c r="D260" s="8"/>
      <c r="E260" s="218"/>
      <c r="F260" s="218"/>
      <c r="G260" s="218"/>
      <c r="H260" s="218"/>
      <c r="I260" s="218"/>
      <c r="J260" s="218"/>
      <c r="K260" s="218"/>
      <c r="L260" s="218"/>
      <c r="M260" s="273">
        <v>30.89</v>
      </c>
    </row>
    <row r="261" spans="1:13" ht="15" x14ac:dyDescent="0.25">
      <c r="A261" s="231"/>
      <c r="B261" s="9"/>
      <c r="C261" s="7"/>
      <c r="D261" s="8"/>
      <c r="E261" s="218"/>
      <c r="F261" s="218"/>
      <c r="G261" s="218"/>
      <c r="H261" s="218"/>
      <c r="I261" s="218"/>
      <c r="J261" s="218"/>
      <c r="K261" s="218"/>
      <c r="L261" s="218"/>
      <c r="M261" s="278"/>
    </row>
    <row r="262" spans="1:13" ht="36" x14ac:dyDescent="0.2">
      <c r="A262" s="231" t="s">
        <v>53</v>
      </c>
      <c r="B262" s="9" t="s">
        <v>342</v>
      </c>
      <c r="C262" s="7" t="s">
        <v>54</v>
      </c>
      <c r="D262" s="17" t="s">
        <v>45</v>
      </c>
      <c r="E262" s="218"/>
      <c r="F262" s="218"/>
      <c r="G262" s="218"/>
      <c r="H262" s="218"/>
      <c r="I262" s="218"/>
      <c r="J262" s="218"/>
      <c r="K262" s="218"/>
      <c r="L262" s="218"/>
      <c r="M262" s="272">
        <f>SUM(M263)</f>
        <v>5.85</v>
      </c>
    </row>
    <row r="263" spans="1:13" x14ac:dyDescent="0.2">
      <c r="A263" s="231"/>
      <c r="B263" s="9"/>
      <c r="C263" s="7"/>
      <c r="D263" s="8"/>
      <c r="E263" s="218"/>
      <c r="F263" s="218"/>
      <c r="G263" s="218">
        <v>5.85</v>
      </c>
      <c r="H263" s="218"/>
      <c r="I263" s="218"/>
      <c r="J263" s="218"/>
      <c r="K263" s="218"/>
      <c r="L263" s="218"/>
      <c r="M263" s="273">
        <f>G263</f>
        <v>5.85</v>
      </c>
    </row>
    <row r="264" spans="1:13" x14ac:dyDescent="0.2">
      <c r="A264" s="231"/>
      <c r="B264" s="9"/>
      <c r="C264" s="7"/>
      <c r="D264" s="8"/>
      <c r="E264" s="218"/>
      <c r="F264" s="218"/>
      <c r="G264" s="218"/>
      <c r="H264" s="218"/>
      <c r="I264" s="218"/>
      <c r="J264" s="218"/>
      <c r="K264" s="218"/>
      <c r="L264" s="218"/>
      <c r="M264" s="273"/>
    </row>
    <row r="265" spans="1:13" ht="36" x14ac:dyDescent="0.2">
      <c r="A265" s="231" t="s">
        <v>55</v>
      </c>
      <c r="B265" s="9" t="s">
        <v>343</v>
      </c>
      <c r="C265" s="7" t="s">
        <v>279</v>
      </c>
      <c r="D265" s="17" t="s">
        <v>16</v>
      </c>
      <c r="E265" s="218"/>
      <c r="F265" s="218"/>
      <c r="G265" s="218"/>
      <c r="H265" s="218"/>
      <c r="I265" s="218"/>
      <c r="J265" s="218"/>
      <c r="K265" s="218"/>
      <c r="L265" s="218"/>
      <c r="M265" s="272">
        <f>SUM(M266)</f>
        <v>4</v>
      </c>
    </row>
    <row r="266" spans="1:13" x14ac:dyDescent="0.2">
      <c r="A266" s="231"/>
      <c r="B266" s="9"/>
      <c r="C266" s="7"/>
      <c r="D266" s="8"/>
      <c r="E266" s="218">
        <v>4</v>
      </c>
      <c r="F266" s="218"/>
      <c r="G266" s="218"/>
      <c r="H266" s="218"/>
      <c r="I266" s="218"/>
      <c r="J266" s="218"/>
      <c r="K266" s="218"/>
      <c r="L266" s="218"/>
      <c r="M266" s="273">
        <f>E266</f>
        <v>4</v>
      </c>
    </row>
    <row r="267" spans="1:13" x14ac:dyDescent="0.2">
      <c r="A267" s="231"/>
      <c r="B267" s="9"/>
      <c r="C267" s="7"/>
      <c r="D267" s="8"/>
      <c r="E267" s="218"/>
      <c r="F267" s="218"/>
      <c r="G267" s="218"/>
      <c r="H267" s="218"/>
      <c r="I267" s="218"/>
      <c r="J267" s="218"/>
      <c r="K267" s="218"/>
      <c r="L267" s="218"/>
      <c r="M267" s="273"/>
    </row>
    <row r="268" spans="1:13" x14ac:dyDescent="0.2">
      <c r="A268" s="274"/>
      <c r="B268" s="29" t="s">
        <v>9</v>
      </c>
      <c r="C268" s="30" t="s">
        <v>72</v>
      </c>
      <c r="D268" s="31"/>
      <c r="E268" s="31"/>
      <c r="F268" s="31"/>
      <c r="G268" s="31"/>
      <c r="H268" s="31"/>
      <c r="I268" s="31"/>
      <c r="J268" s="31"/>
      <c r="K268" s="31"/>
      <c r="L268" s="31"/>
      <c r="M268" s="275"/>
    </row>
    <row r="269" spans="1:13" ht="48" x14ac:dyDescent="0.2">
      <c r="A269" s="231" t="s">
        <v>73</v>
      </c>
      <c r="B269" s="9" t="s">
        <v>305</v>
      </c>
      <c r="C269" s="7" t="s">
        <v>280</v>
      </c>
      <c r="D269" s="17" t="s">
        <v>38</v>
      </c>
      <c r="E269" s="218"/>
      <c r="F269" s="218"/>
      <c r="G269" s="218"/>
      <c r="H269" s="218"/>
      <c r="I269" s="218"/>
      <c r="J269" s="218"/>
      <c r="K269" s="218"/>
      <c r="L269" s="218"/>
      <c r="M269" s="272">
        <f>SUM(M270,M273,M276,M279)</f>
        <v>1.4044000000000001</v>
      </c>
    </row>
    <row r="270" spans="1:13" x14ac:dyDescent="0.2">
      <c r="A270" s="236"/>
      <c r="B270" s="344"/>
      <c r="C270" s="345" t="s">
        <v>244</v>
      </c>
      <c r="D270" s="346"/>
      <c r="E270" s="347"/>
      <c r="F270" s="347">
        <v>3.3</v>
      </c>
      <c r="G270" s="347"/>
      <c r="H270" s="347">
        <v>3.3</v>
      </c>
      <c r="I270" s="347">
        <v>0.1</v>
      </c>
      <c r="J270" s="347"/>
      <c r="K270" s="347"/>
      <c r="L270" s="347"/>
      <c r="M270" s="342">
        <f>F270*H270*I270</f>
        <v>1.089</v>
      </c>
    </row>
    <row r="271" spans="1:13" x14ac:dyDescent="0.2">
      <c r="A271" s="231"/>
      <c r="B271" s="9"/>
      <c r="C271" s="7"/>
      <c r="D271" s="8"/>
      <c r="E271" s="218"/>
      <c r="F271" s="218"/>
      <c r="G271" s="218"/>
      <c r="H271" s="218"/>
      <c r="I271" s="218"/>
      <c r="J271" s="218"/>
      <c r="K271" s="218"/>
      <c r="L271" s="218"/>
      <c r="M271" s="273"/>
    </row>
    <row r="272" spans="1:13" x14ac:dyDescent="0.2">
      <c r="A272" s="231"/>
      <c r="B272" s="9"/>
      <c r="C272" s="7" t="s">
        <v>150</v>
      </c>
      <c r="D272" s="8"/>
      <c r="E272" s="218"/>
      <c r="F272" s="218"/>
      <c r="G272" s="218"/>
      <c r="H272" s="218"/>
      <c r="I272" s="218"/>
      <c r="J272" s="218"/>
      <c r="K272" s="218"/>
      <c r="L272" s="218"/>
      <c r="M272" s="273"/>
    </row>
    <row r="273" spans="1:13" x14ac:dyDescent="0.2">
      <c r="A273" s="231"/>
      <c r="B273" s="9"/>
      <c r="C273" s="7" t="s">
        <v>646</v>
      </c>
      <c r="D273" s="8"/>
      <c r="E273" s="218"/>
      <c r="F273" s="218">
        <v>1.7</v>
      </c>
      <c r="G273" s="218"/>
      <c r="H273" s="218">
        <v>0.6</v>
      </c>
      <c r="I273" s="218">
        <v>0.1</v>
      </c>
      <c r="J273" s="218"/>
      <c r="K273" s="218"/>
      <c r="L273" s="218"/>
      <c r="M273" s="273">
        <f>F273*H273*I273</f>
        <v>0.10200000000000001</v>
      </c>
    </row>
    <row r="274" spans="1:13" x14ac:dyDescent="0.2">
      <c r="A274" s="231"/>
      <c r="B274" s="9"/>
      <c r="C274" s="7"/>
      <c r="D274" s="8"/>
      <c r="E274" s="218"/>
      <c r="F274" s="218"/>
      <c r="G274" s="218"/>
      <c r="H274" s="218"/>
      <c r="I274" s="218"/>
      <c r="J274" s="218"/>
      <c r="K274" s="218"/>
      <c r="L274" s="218"/>
      <c r="M274" s="273"/>
    </row>
    <row r="275" spans="1:13" x14ac:dyDescent="0.2">
      <c r="A275" s="231"/>
      <c r="B275" s="9"/>
      <c r="C275" s="7" t="s">
        <v>151</v>
      </c>
      <c r="D275" s="8"/>
      <c r="E275" s="218"/>
      <c r="F275" s="218"/>
      <c r="G275" s="218"/>
      <c r="H275" s="218"/>
      <c r="I275" s="218"/>
      <c r="J275" s="218"/>
      <c r="K275" s="218"/>
      <c r="L275" s="218"/>
      <c r="M275" s="273"/>
    </row>
    <row r="276" spans="1:13" x14ac:dyDescent="0.2">
      <c r="A276" s="231"/>
      <c r="B276" s="9"/>
      <c r="C276" s="7" t="s">
        <v>647</v>
      </c>
      <c r="D276" s="8"/>
      <c r="E276" s="218"/>
      <c r="F276" s="218">
        <v>2.0299999999999998</v>
      </c>
      <c r="G276" s="218"/>
      <c r="H276" s="218">
        <v>0.55000000000000004</v>
      </c>
      <c r="I276" s="218">
        <v>0.1</v>
      </c>
      <c r="J276" s="218"/>
      <c r="K276" s="218"/>
      <c r="L276" s="218"/>
      <c r="M276" s="273">
        <f>F276*H276*I276</f>
        <v>0.11165000000000001</v>
      </c>
    </row>
    <row r="277" spans="1:13" x14ac:dyDescent="0.2">
      <c r="A277" s="231"/>
      <c r="B277" s="9"/>
      <c r="C277" s="7"/>
      <c r="D277" s="8"/>
      <c r="E277" s="218"/>
      <c r="F277" s="218"/>
      <c r="G277" s="218"/>
      <c r="H277" s="218"/>
      <c r="I277" s="218"/>
      <c r="J277" s="218"/>
      <c r="K277" s="218"/>
      <c r="L277" s="218"/>
      <c r="M277" s="273"/>
    </row>
    <row r="278" spans="1:13" x14ac:dyDescent="0.2">
      <c r="A278" s="231"/>
      <c r="B278" s="9"/>
      <c r="C278" s="7" t="s">
        <v>152</v>
      </c>
      <c r="D278" s="8"/>
      <c r="E278" s="218"/>
      <c r="F278" s="218"/>
      <c r="G278" s="218"/>
      <c r="H278" s="218"/>
      <c r="I278" s="218"/>
      <c r="J278" s="218"/>
      <c r="K278" s="218"/>
      <c r="L278" s="218"/>
      <c r="M278" s="273"/>
    </row>
    <row r="279" spans="1:13" x14ac:dyDescent="0.2">
      <c r="A279" s="231"/>
      <c r="B279" s="9"/>
      <c r="C279" s="7" t="s">
        <v>171</v>
      </c>
      <c r="D279" s="8"/>
      <c r="E279" s="218"/>
      <c r="F279" s="218">
        <v>1.85</v>
      </c>
      <c r="G279" s="218"/>
      <c r="H279" s="218">
        <v>0.55000000000000004</v>
      </c>
      <c r="I279" s="218">
        <v>0.1</v>
      </c>
      <c r="J279" s="218"/>
      <c r="K279" s="218"/>
      <c r="L279" s="218"/>
      <c r="M279" s="273">
        <f>F279*H279*I279</f>
        <v>0.10175000000000001</v>
      </c>
    </row>
    <row r="280" spans="1:13" ht="15" customHeight="1" x14ac:dyDescent="0.2">
      <c r="A280" s="231"/>
      <c r="B280" s="9"/>
      <c r="C280" s="7"/>
      <c r="D280" s="8"/>
      <c r="E280" s="218"/>
      <c r="F280" s="218"/>
      <c r="G280" s="218"/>
      <c r="H280" s="218"/>
      <c r="I280" s="218"/>
      <c r="J280" s="218"/>
      <c r="K280" s="218"/>
      <c r="L280" s="218"/>
      <c r="M280" s="273"/>
    </row>
    <row r="281" spans="1:13" ht="15" customHeight="1" x14ac:dyDescent="0.2">
      <c r="A281" s="231"/>
      <c r="B281" s="9"/>
      <c r="C281" s="7"/>
      <c r="D281" s="8"/>
      <c r="E281" s="218"/>
      <c r="F281" s="218"/>
      <c r="G281" s="218"/>
      <c r="H281" s="218"/>
      <c r="I281" s="218"/>
      <c r="J281" s="218"/>
      <c r="K281" s="218"/>
      <c r="L281" s="218"/>
      <c r="M281" s="273"/>
    </row>
    <row r="282" spans="1:13" ht="72" x14ac:dyDescent="0.2">
      <c r="A282" s="231" t="s">
        <v>241</v>
      </c>
      <c r="B282" s="9" t="s">
        <v>344</v>
      </c>
      <c r="C282" s="7" t="s">
        <v>240</v>
      </c>
      <c r="D282" s="17" t="s">
        <v>58</v>
      </c>
      <c r="E282" s="218"/>
      <c r="F282" s="218"/>
      <c r="G282" s="218"/>
      <c r="H282" s="218"/>
      <c r="I282" s="218"/>
      <c r="J282" s="218"/>
      <c r="K282" s="218"/>
      <c r="L282" s="218"/>
      <c r="M282" s="272">
        <f>SUM(M283)</f>
        <v>16.697999999999997</v>
      </c>
    </row>
    <row r="283" spans="1:13" x14ac:dyDescent="0.2">
      <c r="A283" s="231"/>
      <c r="B283" s="9"/>
      <c r="C283" s="7" t="s">
        <v>244</v>
      </c>
      <c r="D283" s="8"/>
      <c r="E283" s="218">
        <v>46</v>
      </c>
      <c r="F283" s="218">
        <v>3.3</v>
      </c>
      <c r="G283" s="218"/>
      <c r="H283" s="218"/>
      <c r="I283" s="218"/>
      <c r="J283" s="218"/>
      <c r="K283" s="218"/>
      <c r="L283" s="218">
        <v>0.11</v>
      </c>
      <c r="M283" s="273">
        <f>E283*F283*L283</f>
        <v>16.697999999999997</v>
      </c>
    </row>
    <row r="284" spans="1:13" x14ac:dyDescent="0.2">
      <c r="A284" s="231"/>
      <c r="B284" s="9"/>
      <c r="C284" s="7"/>
      <c r="D284" s="8"/>
      <c r="E284" s="218"/>
      <c r="F284" s="218"/>
      <c r="G284" s="218"/>
      <c r="H284" s="218"/>
      <c r="I284" s="218"/>
      <c r="J284" s="218"/>
      <c r="K284" s="218"/>
      <c r="L284" s="218"/>
      <c r="M284" s="273"/>
    </row>
    <row r="285" spans="1:13" ht="36" x14ac:dyDescent="0.2">
      <c r="A285" s="231" t="s">
        <v>243</v>
      </c>
      <c r="B285" s="9" t="s">
        <v>345</v>
      </c>
      <c r="C285" s="7" t="s">
        <v>242</v>
      </c>
      <c r="D285" s="17" t="s">
        <v>58</v>
      </c>
      <c r="E285" s="218"/>
      <c r="F285" s="218"/>
      <c r="G285" s="218"/>
      <c r="H285" s="218"/>
      <c r="I285" s="218"/>
      <c r="J285" s="218"/>
      <c r="K285" s="218"/>
      <c r="L285" s="218"/>
      <c r="M285" s="272">
        <f>SUM(M286)</f>
        <v>16.7</v>
      </c>
    </row>
    <row r="286" spans="1:13" x14ac:dyDescent="0.2">
      <c r="A286" s="231"/>
      <c r="B286" s="9"/>
      <c r="C286" s="7" t="s">
        <v>244</v>
      </c>
      <c r="D286" s="8"/>
      <c r="E286" s="218"/>
      <c r="F286" s="218"/>
      <c r="G286" s="218"/>
      <c r="H286" s="218"/>
      <c r="I286" s="218"/>
      <c r="J286" s="218"/>
      <c r="K286" s="218">
        <v>16.7</v>
      </c>
      <c r="L286" s="218"/>
      <c r="M286" s="273">
        <f>K286</f>
        <v>16.7</v>
      </c>
    </row>
    <row r="287" spans="1:13" x14ac:dyDescent="0.2">
      <c r="A287" s="231"/>
      <c r="B287" s="9"/>
      <c r="C287" s="7"/>
      <c r="D287" s="8"/>
      <c r="E287" s="218"/>
      <c r="F287" s="218"/>
      <c r="G287" s="218"/>
      <c r="H287" s="218"/>
      <c r="I287" s="218"/>
      <c r="J287" s="218"/>
      <c r="K287" s="218"/>
      <c r="L287" s="218"/>
      <c r="M287" s="273"/>
    </row>
    <row r="288" spans="1:13" x14ac:dyDescent="0.2">
      <c r="A288" s="231"/>
      <c r="B288" s="19"/>
      <c r="C288" s="14"/>
      <c r="D288" s="15"/>
      <c r="E288" s="218"/>
      <c r="F288" s="218"/>
      <c r="G288" s="218"/>
      <c r="H288" s="218"/>
      <c r="I288" s="218"/>
      <c r="J288" s="218"/>
      <c r="K288" s="218"/>
      <c r="L288" s="218"/>
      <c r="M288" s="273"/>
    </row>
    <row r="289" spans="1:13" x14ac:dyDescent="0.2">
      <c r="A289" s="274"/>
      <c r="B289" s="29" t="s">
        <v>78</v>
      </c>
      <c r="C289" s="30" t="s">
        <v>76</v>
      </c>
      <c r="D289" s="31"/>
      <c r="E289" s="31"/>
      <c r="F289" s="31"/>
      <c r="G289" s="31"/>
      <c r="H289" s="31"/>
      <c r="I289" s="31"/>
      <c r="J289" s="31"/>
      <c r="K289" s="31"/>
      <c r="L289" s="31"/>
      <c r="M289" s="275"/>
    </row>
    <row r="290" spans="1:13" ht="24" x14ac:dyDescent="0.2">
      <c r="A290" s="231" t="s">
        <v>74</v>
      </c>
      <c r="B290" s="9" t="s">
        <v>306</v>
      </c>
      <c r="C290" s="7" t="s">
        <v>75</v>
      </c>
      <c r="D290" s="133" t="s">
        <v>38</v>
      </c>
      <c r="E290" s="142"/>
      <c r="F290" s="142"/>
      <c r="G290" s="142"/>
      <c r="H290" s="142"/>
      <c r="I290" s="142"/>
      <c r="J290" s="142"/>
      <c r="K290" s="142"/>
      <c r="L290" s="142"/>
      <c r="M290" s="272">
        <f>ROUND(SUM(M291,M293),2)</f>
        <v>2.34</v>
      </c>
    </row>
    <row r="291" spans="1:13" x14ac:dyDescent="0.2">
      <c r="A291" s="231"/>
      <c r="B291" s="9"/>
      <c r="C291" s="33" t="s">
        <v>189</v>
      </c>
      <c r="D291" s="143"/>
      <c r="E291" s="142">
        <v>28</v>
      </c>
      <c r="F291" s="142">
        <v>5</v>
      </c>
      <c r="G291" s="142"/>
      <c r="H291" s="142">
        <v>0.15</v>
      </c>
      <c r="I291" s="142">
        <v>0.1</v>
      </c>
      <c r="J291" s="142"/>
      <c r="K291" s="142"/>
      <c r="L291" s="142"/>
      <c r="M291" s="279">
        <f>ROUND(E291*F291*H291*I291,2)</f>
        <v>2.1</v>
      </c>
    </row>
    <row r="292" spans="1:13" x14ac:dyDescent="0.2">
      <c r="A292" s="231"/>
      <c r="B292" s="9"/>
      <c r="C292" s="33"/>
      <c r="D292" s="143"/>
      <c r="E292" s="142"/>
      <c r="F292" s="142"/>
      <c r="G292" s="142"/>
      <c r="H292" s="142"/>
      <c r="I292" s="142"/>
      <c r="J292" s="142"/>
      <c r="K292" s="142"/>
      <c r="L292" s="142"/>
      <c r="M292" s="280"/>
    </row>
    <row r="293" spans="1:13" x14ac:dyDescent="0.2">
      <c r="A293" s="231"/>
      <c r="B293" s="9"/>
      <c r="C293" s="33" t="s">
        <v>190</v>
      </c>
      <c r="D293" s="143"/>
      <c r="E293" s="142"/>
      <c r="F293" s="142"/>
      <c r="G293" s="142"/>
      <c r="H293" s="142"/>
      <c r="I293" s="142"/>
      <c r="J293" s="142"/>
      <c r="K293" s="142"/>
      <c r="L293" s="142"/>
      <c r="M293" s="279">
        <f>ROUND(SUM(M294,M297,M300),2)</f>
        <v>0.24</v>
      </c>
    </row>
    <row r="294" spans="1:13" x14ac:dyDescent="0.2">
      <c r="A294" s="231"/>
      <c r="B294" s="9"/>
      <c r="C294" s="7" t="s">
        <v>150</v>
      </c>
      <c r="D294" s="17"/>
      <c r="E294" s="218"/>
      <c r="F294" s="218"/>
      <c r="G294" s="218"/>
      <c r="H294" s="218"/>
      <c r="I294" s="218"/>
      <c r="J294" s="218"/>
      <c r="K294" s="218"/>
      <c r="L294" s="218"/>
      <c r="M294" s="273">
        <f>SUM(M295)</f>
        <v>0.03</v>
      </c>
    </row>
    <row r="295" spans="1:13" x14ac:dyDescent="0.2">
      <c r="A295" s="231"/>
      <c r="B295" s="9"/>
      <c r="C295" s="7" t="s">
        <v>658</v>
      </c>
      <c r="D295" s="17"/>
      <c r="E295" s="218">
        <v>1</v>
      </c>
      <c r="F295" s="218">
        <v>2.15</v>
      </c>
      <c r="G295" s="218"/>
      <c r="H295" s="218">
        <v>0.15</v>
      </c>
      <c r="I295" s="218">
        <v>0.1</v>
      </c>
      <c r="J295" s="218"/>
      <c r="K295" s="218"/>
      <c r="L295" s="218"/>
      <c r="M295" s="280">
        <f>ROUND(E295*F295*H295*I295,2)</f>
        <v>0.03</v>
      </c>
    </row>
    <row r="296" spans="1:13" x14ac:dyDescent="0.2">
      <c r="A296" s="231"/>
      <c r="B296" s="9"/>
      <c r="C296" s="7"/>
      <c r="D296" s="17"/>
      <c r="E296" s="218"/>
      <c r="F296" s="218"/>
      <c r="G296" s="218"/>
      <c r="H296" s="218"/>
      <c r="I296" s="218"/>
      <c r="J296" s="218"/>
      <c r="K296" s="218"/>
      <c r="L296" s="218"/>
      <c r="M296" s="273"/>
    </row>
    <row r="297" spans="1:13" x14ac:dyDescent="0.2">
      <c r="A297" s="231"/>
      <c r="B297" s="9"/>
      <c r="C297" s="7" t="s">
        <v>151</v>
      </c>
      <c r="D297" s="17"/>
      <c r="E297" s="218"/>
      <c r="F297" s="218"/>
      <c r="G297" s="218"/>
      <c r="H297" s="218"/>
      <c r="I297" s="218"/>
      <c r="J297" s="218"/>
      <c r="K297" s="218"/>
      <c r="L297" s="218"/>
      <c r="M297" s="273">
        <f>SUM(M298)</f>
        <v>0.04</v>
      </c>
    </row>
    <row r="298" spans="1:13" x14ac:dyDescent="0.2">
      <c r="A298" s="231"/>
      <c r="B298" s="9"/>
      <c r="C298" s="7" t="s">
        <v>165</v>
      </c>
      <c r="D298" s="17"/>
      <c r="E298" s="218">
        <v>1</v>
      </c>
      <c r="F298" s="218">
        <v>2.4500000000000002</v>
      </c>
      <c r="G298" s="218"/>
      <c r="H298" s="218">
        <v>0.15</v>
      </c>
      <c r="I298" s="218">
        <v>0.1</v>
      </c>
      <c r="J298" s="218"/>
      <c r="K298" s="218"/>
      <c r="L298" s="218"/>
      <c r="M298" s="273">
        <f>ROUND(E298*F298*H298*I298,2)</f>
        <v>0.04</v>
      </c>
    </row>
    <row r="299" spans="1:13" x14ac:dyDescent="0.2">
      <c r="A299" s="231"/>
      <c r="B299" s="9"/>
      <c r="C299" s="7"/>
      <c r="D299" s="17"/>
      <c r="E299" s="218"/>
      <c r="F299" s="218"/>
      <c r="G299" s="218"/>
      <c r="H299" s="218"/>
      <c r="I299" s="218"/>
      <c r="J299" s="218"/>
      <c r="K299" s="218"/>
      <c r="L299" s="218"/>
      <c r="M299" s="273"/>
    </row>
    <row r="300" spans="1:13" x14ac:dyDescent="0.2">
      <c r="A300" s="231"/>
      <c r="B300" s="9"/>
      <c r="C300" s="7" t="s">
        <v>152</v>
      </c>
      <c r="D300" s="17"/>
      <c r="E300" s="218"/>
      <c r="F300" s="218"/>
      <c r="G300" s="218"/>
      <c r="H300" s="218"/>
      <c r="I300" s="218"/>
      <c r="J300" s="218"/>
      <c r="K300" s="218"/>
      <c r="L300" s="218"/>
      <c r="M300" s="273">
        <f>SUM(M301:M302)</f>
        <v>0.17</v>
      </c>
    </row>
    <row r="301" spans="1:13" x14ac:dyDescent="0.2">
      <c r="A301" s="231"/>
      <c r="B301" s="9"/>
      <c r="C301" s="7" t="s">
        <v>171</v>
      </c>
      <c r="D301" s="17"/>
      <c r="E301" s="218">
        <v>1</v>
      </c>
      <c r="F301" s="218">
        <v>2.2999999999999998</v>
      </c>
      <c r="G301" s="218"/>
      <c r="H301" s="218">
        <v>0.15</v>
      </c>
      <c r="I301" s="218">
        <v>0.1</v>
      </c>
      <c r="J301" s="218"/>
      <c r="K301" s="218"/>
      <c r="L301" s="218"/>
      <c r="M301" s="280">
        <f t="shared" ref="M301:M302" si="0">ROUND(E301*F301*H301*I301,2)</f>
        <v>0.03</v>
      </c>
    </row>
    <row r="302" spans="1:13" x14ac:dyDescent="0.2">
      <c r="A302" s="231"/>
      <c r="B302" s="9"/>
      <c r="C302" s="7" t="s">
        <v>441</v>
      </c>
      <c r="D302" s="17"/>
      <c r="E302" s="218">
        <v>4</v>
      </c>
      <c r="F302" s="218">
        <v>2.2999999999999998</v>
      </c>
      <c r="G302" s="218"/>
      <c r="H302" s="218">
        <v>0.15</v>
      </c>
      <c r="I302" s="218">
        <v>0.1</v>
      </c>
      <c r="J302" s="218"/>
      <c r="K302" s="218"/>
      <c r="L302" s="218"/>
      <c r="M302" s="280">
        <f t="shared" si="0"/>
        <v>0.14000000000000001</v>
      </c>
    </row>
    <row r="303" spans="1:13" x14ac:dyDescent="0.2">
      <c r="A303" s="231"/>
      <c r="B303" s="9"/>
      <c r="C303" s="7"/>
      <c r="D303" s="143"/>
      <c r="E303" s="142"/>
      <c r="F303" s="142"/>
      <c r="G303" s="142"/>
      <c r="H303" s="142"/>
      <c r="I303" s="142"/>
      <c r="J303" s="142"/>
      <c r="K303" s="142"/>
      <c r="L303" s="142"/>
      <c r="M303" s="280"/>
    </row>
    <row r="304" spans="1:13" ht="84" x14ac:dyDescent="0.2">
      <c r="A304" s="231" t="s">
        <v>77</v>
      </c>
      <c r="B304" s="9" t="s">
        <v>346</v>
      </c>
      <c r="C304" s="7" t="s">
        <v>281</v>
      </c>
      <c r="D304" s="133" t="s">
        <v>38</v>
      </c>
      <c r="E304" s="142"/>
      <c r="F304" s="142"/>
      <c r="G304" s="142"/>
      <c r="H304" s="142"/>
      <c r="I304" s="142"/>
      <c r="J304" s="142"/>
      <c r="K304" s="142"/>
      <c r="L304" s="142"/>
      <c r="M304" s="272">
        <f>SUM(M306)</f>
        <v>0.6996</v>
      </c>
    </row>
    <row r="305" spans="1:13" x14ac:dyDescent="0.2">
      <c r="A305" s="231"/>
      <c r="B305" s="9"/>
      <c r="C305" s="7" t="s">
        <v>246</v>
      </c>
      <c r="D305" s="143"/>
      <c r="E305" s="142"/>
      <c r="F305" s="142"/>
      <c r="G305" s="142"/>
      <c r="H305" s="142"/>
      <c r="I305" s="142"/>
      <c r="J305" s="142"/>
      <c r="K305" s="142"/>
      <c r="L305" s="142"/>
      <c r="M305" s="280"/>
    </row>
    <row r="306" spans="1:13" ht="24" x14ac:dyDescent="0.2">
      <c r="A306" s="231"/>
      <c r="B306" s="9" t="s">
        <v>154</v>
      </c>
      <c r="C306" s="7" t="s">
        <v>245</v>
      </c>
      <c r="D306" s="143"/>
      <c r="E306" s="142"/>
      <c r="F306" s="142"/>
      <c r="G306" s="142"/>
      <c r="H306" s="142"/>
      <c r="I306" s="142">
        <v>0.12</v>
      </c>
      <c r="J306" s="142">
        <v>5.83</v>
      </c>
      <c r="K306" s="142"/>
      <c r="L306" s="142"/>
      <c r="M306" s="280">
        <f>I306*J306</f>
        <v>0.6996</v>
      </c>
    </row>
    <row r="307" spans="1:13" x14ac:dyDescent="0.2">
      <c r="A307" s="231"/>
      <c r="B307" s="9"/>
      <c r="C307" s="7"/>
      <c r="D307" s="143"/>
      <c r="E307" s="142"/>
      <c r="F307" s="142"/>
      <c r="G307" s="142"/>
      <c r="H307" s="142"/>
      <c r="I307" s="142"/>
      <c r="J307" s="142"/>
      <c r="K307" s="142"/>
      <c r="L307" s="142"/>
      <c r="M307" s="280"/>
    </row>
    <row r="308" spans="1:13" ht="84" x14ac:dyDescent="0.2">
      <c r="A308" s="231" t="s">
        <v>79</v>
      </c>
      <c r="B308" s="9" t="s">
        <v>347</v>
      </c>
      <c r="C308" s="7" t="s">
        <v>80</v>
      </c>
      <c r="D308" s="133" t="s">
        <v>17</v>
      </c>
      <c r="E308" s="142"/>
      <c r="F308" s="142"/>
      <c r="G308" s="142"/>
      <c r="H308" s="142"/>
      <c r="I308" s="142"/>
      <c r="J308" s="142"/>
      <c r="K308" s="142"/>
      <c r="L308" s="142"/>
      <c r="M308" s="272">
        <f>ROUND(SUM(M309),2)</f>
        <v>6</v>
      </c>
    </row>
    <row r="309" spans="1:13" x14ac:dyDescent="0.2">
      <c r="A309" s="231"/>
      <c r="B309" s="9"/>
      <c r="C309" s="7"/>
      <c r="D309" s="8"/>
      <c r="E309" s="218"/>
      <c r="F309" s="218"/>
      <c r="G309" s="218"/>
      <c r="H309" s="218"/>
      <c r="I309" s="218"/>
      <c r="J309" s="218">
        <v>6</v>
      </c>
      <c r="K309" s="218"/>
      <c r="L309" s="218"/>
      <c r="M309" s="273">
        <f>J309</f>
        <v>6</v>
      </c>
    </row>
    <row r="310" spans="1:13" x14ac:dyDescent="0.2">
      <c r="A310" s="231"/>
      <c r="B310" s="9"/>
      <c r="C310" s="11"/>
      <c r="D310" s="10"/>
      <c r="E310" s="218"/>
      <c r="F310" s="218"/>
      <c r="G310" s="218"/>
      <c r="H310" s="218"/>
      <c r="I310" s="218"/>
      <c r="J310" s="218"/>
      <c r="K310" s="218"/>
      <c r="L310" s="218"/>
      <c r="M310" s="273"/>
    </row>
    <row r="311" spans="1:13" x14ac:dyDescent="0.2">
      <c r="A311" s="274"/>
      <c r="B311" s="29" t="s">
        <v>11</v>
      </c>
      <c r="C311" s="30" t="s">
        <v>81</v>
      </c>
      <c r="D311" s="31"/>
      <c r="E311" s="31"/>
      <c r="F311" s="31"/>
      <c r="G311" s="31"/>
      <c r="H311" s="31"/>
      <c r="I311" s="31"/>
      <c r="J311" s="31"/>
      <c r="K311" s="31"/>
      <c r="L311" s="31"/>
      <c r="M311" s="275"/>
    </row>
    <row r="312" spans="1:13" ht="60" x14ac:dyDescent="0.2">
      <c r="A312" s="231" t="s">
        <v>85</v>
      </c>
      <c r="B312" s="9" t="s">
        <v>307</v>
      </c>
      <c r="C312" s="7" t="s">
        <v>84</v>
      </c>
      <c r="D312" s="17" t="s">
        <v>17</v>
      </c>
      <c r="E312" s="218"/>
      <c r="F312" s="218"/>
      <c r="G312" s="218"/>
      <c r="H312" s="218"/>
      <c r="I312" s="218"/>
      <c r="J312" s="218"/>
      <c r="K312" s="218"/>
      <c r="L312" s="218"/>
      <c r="M312" s="272">
        <f>SUM(M315:M341)</f>
        <v>36.601500000000001</v>
      </c>
    </row>
    <row r="313" spans="1:13" x14ac:dyDescent="0.2">
      <c r="A313" s="231"/>
      <c r="B313" s="9"/>
      <c r="C313" s="7"/>
      <c r="D313" s="17"/>
      <c r="E313" s="218"/>
      <c r="F313" s="218"/>
      <c r="G313" s="218"/>
      <c r="H313" s="218"/>
      <c r="I313" s="218"/>
      <c r="J313" s="218"/>
      <c r="K313" s="218"/>
      <c r="L313" s="218"/>
      <c r="M313" s="277"/>
    </row>
    <row r="314" spans="1:13" x14ac:dyDescent="0.2">
      <c r="A314" s="231"/>
      <c r="B314" s="9"/>
      <c r="C314" s="7" t="s">
        <v>150</v>
      </c>
      <c r="D314" s="17"/>
      <c r="E314" s="218"/>
      <c r="F314" s="218"/>
      <c r="G314" s="218"/>
      <c r="H314" s="218"/>
      <c r="I314" s="218"/>
      <c r="J314" s="218"/>
      <c r="K314" s="218"/>
      <c r="L314" s="218"/>
      <c r="M314" s="277"/>
    </row>
    <row r="315" spans="1:13" x14ac:dyDescent="0.2">
      <c r="A315" s="231"/>
      <c r="B315" s="9"/>
      <c r="C315" s="7" t="s">
        <v>383</v>
      </c>
      <c r="D315" s="17"/>
      <c r="E315" s="218"/>
      <c r="F315" s="218"/>
      <c r="G315" s="218"/>
      <c r="H315" s="218"/>
      <c r="I315" s="218"/>
      <c r="J315" s="218">
        <v>2</v>
      </c>
      <c r="K315" s="218"/>
      <c r="L315" s="218"/>
      <c r="M315" s="281">
        <f>J315</f>
        <v>2</v>
      </c>
    </row>
    <row r="316" spans="1:13" x14ac:dyDescent="0.2">
      <c r="A316" s="231"/>
      <c r="B316" s="9"/>
      <c r="C316" s="7"/>
      <c r="D316" s="17"/>
      <c r="E316" s="218"/>
      <c r="F316" s="218"/>
      <c r="G316" s="218"/>
      <c r="H316" s="218"/>
      <c r="I316" s="218"/>
      <c r="J316" s="218"/>
      <c r="K316" s="218"/>
      <c r="L316" s="218"/>
      <c r="M316" s="281"/>
    </row>
    <row r="317" spans="1:13" x14ac:dyDescent="0.2">
      <c r="A317" s="231"/>
      <c r="B317" s="9"/>
      <c r="C317" s="7" t="s">
        <v>151</v>
      </c>
      <c r="D317" s="8"/>
      <c r="E317" s="218"/>
      <c r="F317" s="218"/>
      <c r="G317" s="218"/>
      <c r="H317" s="218"/>
      <c r="I317" s="218"/>
      <c r="J317" s="218"/>
      <c r="K317" s="218"/>
      <c r="L317" s="218"/>
      <c r="M317" s="281"/>
    </row>
    <row r="318" spans="1:13" x14ac:dyDescent="0.2">
      <c r="A318" s="231"/>
      <c r="B318" s="9"/>
      <c r="C318" s="7" t="s">
        <v>249</v>
      </c>
      <c r="D318" s="8"/>
      <c r="E318" s="218"/>
      <c r="F318" s="218">
        <v>1.35</v>
      </c>
      <c r="G318" s="218"/>
      <c r="H318" s="218"/>
      <c r="I318" s="218">
        <v>1.6</v>
      </c>
      <c r="J318" s="218">
        <f>F318*I318</f>
        <v>2.16</v>
      </c>
      <c r="K318" s="218"/>
      <c r="L318" s="218"/>
      <c r="M318" s="281">
        <f t="shared" ref="M318:M341" si="1">J318</f>
        <v>2.16</v>
      </c>
    </row>
    <row r="319" spans="1:13" x14ac:dyDescent="0.2">
      <c r="A319" s="231"/>
      <c r="B319" s="9"/>
      <c r="C319" s="7"/>
      <c r="D319" s="8"/>
      <c r="E319" s="218">
        <v>2</v>
      </c>
      <c r="F319" s="218">
        <v>0.2</v>
      </c>
      <c r="G319" s="218"/>
      <c r="H319" s="218"/>
      <c r="I319" s="218">
        <v>1.6</v>
      </c>
      <c r="J319" s="218">
        <f>I319*E319*F319</f>
        <v>0.64000000000000012</v>
      </c>
      <c r="K319" s="218"/>
      <c r="L319" s="218"/>
      <c r="M319" s="281">
        <f t="shared" si="1"/>
        <v>0.64000000000000012</v>
      </c>
    </row>
    <row r="320" spans="1:13" x14ac:dyDescent="0.2">
      <c r="A320" s="231"/>
      <c r="B320" s="9"/>
      <c r="C320" s="7" t="s">
        <v>248</v>
      </c>
      <c r="D320" s="8"/>
      <c r="E320" s="218"/>
      <c r="F320" s="218">
        <v>0.6</v>
      </c>
      <c r="G320" s="218"/>
      <c r="H320" s="218"/>
      <c r="I320" s="218">
        <v>2.1</v>
      </c>
      <c r="J320" s="218">
        <f>F320*I320</f>
        <v>1.26</v>
      </c>
      <c r="K320" s="218"/>
      <c r="L320" s="218"/>
      <c r="M320" s="281">
        <f t="shared" si="1"/>
        <v>1.26</v>
      </c>
    </row>
    <row r="321" spans="1:13" x14ac:dyDescent="0.2">
      <c r="A321" s="231"/>
      <c r="B321" s="9"/>
      <c r="C321" s="7" t="s">
        <v>250</v>
      </c>
      <c r="D321" s="8"/>
      <c r="E321" s="218"/>
      <c r="F321" s="218">
        <v>0.8</v>
      </c>
      <c r="G321" s="218"/>
      <c r="H321" s="218"/>
      <c r="I321" s="218">
        <v>2.1</v>
      </c>
      <c r="J321" s="218">
        <f>F321*I321</f>
        <v>1.6800000000000002</v>
      </c>
      <c r="K321" s="218"/>
      <c r="L321" s="218"/>
      <c r="M321" s="281">
        <f t="shared" si="1"/>
        <v>1.6800000000000002</v>
      </c>
    </row>
    <row r="322" spans="1:13" x14ac:dyDescent="0.2">
      <c r="A322" s="231"/>
      <c r="B322" s="9"/>
      <c r="C322" s="7" t="s">
        <v>251</v>
      </c>
      <c r="D322" s="8"/>
      <c r="E322" s="218">
        <v>2</v>
      </c>
      <c r="F322" s="218">
        <v>0.4</v>
      </c>
      <c r="G322" s="218"/>
      <c r="H322" s="218"/>
      <c r="I322" s="218">
        <v>1.6</v>
      </c>
      <c r="J322" s="218">
        <f>I322*F322*E322</f>
        <v>1.2800000000000002</v>
      </c>
      <c r="K322" s="218"/>
      <c r="L322" s="218"/>
      <c r="M322" s="281">
        <f t="shared" si="1"/>
        <v>1.2800000000000002</v>
      </c>
    </row>
    <row r="323" spans="1:13" x14ac:dyDescent="0.2">
      <c r="A323" s="231"/>
      <c r="B323" s="9"/>
      <c r="C323" s="7" t="s">
        <v>252</v>
      </c>
      <c r="D323" s="8"/>
      <c r="E323" s="218"/>
      <c r="F323" s="218">
        <v>0.2</v>
      </c>
      <c r="G323" s="218"/>
      <c r="H323" s="218"/>
      <c r="I323" s="218">
        <v>1.6</v>
      </c>
      <c r="J323" s="218">
        <f>F323*I323</f>
        <v>0.32000000000000006</v>
      </c>
      <c r="K323" s="218"/>
      <c r="L323" s="218"/>
      <c r="M323" s="281">
        <f t="shared" si="1"/>
        <v>0.32000000000000006</v>
      </c>
    </row>
    <row r="324" spans="1:13" x14ac:dyDescent="0.2">
      <c r="A324" s="231"/>
      <c r="B324" s="9"/>
      <c r="C324" s="7" t="s">
        <v>253</v>
      </c>
      <c r="D324" s="8"/>
      <c r="E324" s="218"/>
      <c r="F324" s="218"/>
      <c r="G324" s="218">
        <v>6.67</v>
      </c>
      <c r="H324" s="218"/>
      <c r="I324" s="218">
        <v>2.4500000000000002</v>
      </c>
      <c r="J324" s="218">
        <f>G324*I324</f>
        <v>16.3415</v>
      </c>
      <c r="K324" s="218"/>
      <c r="L324" s="218"/>
      <c r="M324" s="281">
        <f t="shared" si="1"/>
        <v>16.3415</v>
      </c>
    </row>
    <row r="325" spans="1:13" x14ac:dyDescent="0.2">
      <c r="A325" s="231"/>
      <c r="B325" s="9"/>
      <c r="C325" s="7"/>
      <c r="D325" s="8"/>
      <c r="E325" s="218"/>
      <c r="F325" s="218"/>
      <c r="G325" s="218"/>
      <c r="H325" s="218"/>
      <c r="I325" s="218"/>
      <c r="J325" s="218"/>
      <c r="K325" s="218"/>
      <c r="L325" s="218"/>
      <c r="M325" s="281"/>
    </row>
    <row r="326" spans="1:13" x14ac:dyDescent="0.2">
      <c r="A326" s="231"/>
      <c r="B326" s="9"/>
      <c r="C326" s="7" t="s">
        <v>179</v>
      </c>
      <c r="D326" s="8"/>
      <c r="E326" s="218"/>
      <c r="F326" s="218"/>
      <c r="G326" s="218"/>
      <c r="H326" s="218"/>
      <c r="I326" s="218"/>
      <c r="J326" s="218"/>
      <c r="K326" s="218"/>
      <c r="L326" s="218"/>
      <c r="M326" s="281"/>
    </row>
    <row r="327" spans="1:13" x14ac:dyDescent="0.2">
      <c r="A327" s="231"/>
      <c r="B327" s="9"/>
      <c r="C327" s="7" t="s">
        <v>254</v>
      </c>
      <c r="D327" s="8"/>
      <c r="E327" s="218"/>
      <c r="F327" s="218">
        <v>0.8</v>
      </c>
      <c r="G327" s="218"/>
      <c r="H327" s="218"/>
      <c r="I327" s="218">
        <v>1.3</v>
      </c>
      <c r="J327" s="218">
        <f>F327*I327</f>
        <v>1.04</v>
      </c>
      <c r="K327" s="218"/>
      <c r="L327" s="218"/>
      <c r="M327" s="281">
        <f t="shared" si="1"/>
        <v>1.04</v>
      </c>
    </row>
    <row r="328" spans="1:13" x14ac:dyDescent="0.2">
      <c r="A328" s="236"/>
      <c r="B328" s="344"/>
      <c r="C328" s="345"/>
      <c r="D328" s="346"/>
      <c r="E328" s="347">
        <v>2</v>
      </c>
      <c r="F328" s="347">
        <v>0.2</v>
      </c>
      <c r="G328" s="347"/>
      <c r="H328" s="347"/>
      <c r="I328" s="347">
        <v>1.3</v>
      </c>
      <c r="J328" s="347">
        <f>I328*F328*E328</f>
        <v>0.52</v>
      </c>
      <c r="K328" s="347"/>
      <c r="L328" s="347"/>
      <c r="M328" s="343">
        <f t="shared" si="1"/>
        <v>0.52</v>
      </c>
    </row>
    <row r="329" spans="1:13" x14ac:dyDescent="0.2">
      <c r="A329" s="231"/>
      <c r="B329" s="9"/>
      <c r="C329" s="7" t="s">
        <v>255</v>
      </c>
      <c r="D329" s="8"/>
      <c r="E329" s="218">
        <v>2</v>
      </c>
      <c r="F329" s="218">
        <v>0.4</v>
      </c>
      <c r="G329" s="218"/>
      <c r="H329" s="218"/>
      <c r="I329" s="218">
        <v>1.3</v>
      </c>
      <c r="J329" s="218">
        <f>I329*F329*E329</f>
        <v>1.04</v>
      </c>
      <c r="K329" s="218"/>
      <c r="L329" s="218"/>
      <c r="M329" s="281">
        <f t="shared" si="1"/>
        <v>1.04</v>
      </c>
    </row>
    <row r="330" spans="1:13" x14ac:dyDescent="0.2">
      <c r="A330" s="231"/>
      <c r="B330" s="9"/>
      <c r="C330" s="7" t="s">
        <v>256</v>
      </c>
      <c r="D330" s="8"/>
      <c r="E330" s="218"/>
      <c r="F330" s="218">
        <v>0.2</v>
      </c>
      <c r="G330" s="218"/>
      <c r="H330" s="218"/>
      <c r="I330" s="218">
        <v>1.3</v>
      </c>
      <c r="J330" s="218">
        <f>F330*I330</f>
        <v>0.26</v>
      </c>
      <c r="K330" s="218"/>
      <c r="L330" s="218"/>
      <c r="M330" s="281">
        <f t="shared" si="1"/>
        <v>0.26</v>
      </c>
    </row>
    <row r="331" spans="1:13" x14ac:dyDescent="0.2">
      <c r="A331" s="231"/>
      <c r="B331" s="9"/>
      <c r="C331" s="7"/>
      <c r="D331" s="8"/>
      <c r="E331" s="218"/>
      <c r="F331" s="218"/>
      <c r="G331" s="218"/>
      <c r="H331" s="218"/>
      <c r="I331" s="218"/>
      <c r="J331" s="218"/>
      <c r="K331" s="218"/>
      <c r="L331" s="218"/>
      <c r="M331" s="281"/>
    </row>
    <row r="332" spans="1:13" x14ac:dyDescent="0.2">
      <c r="A332" s="231"/>
      <c r="B332" s="9"/>
      <c r="C332" s="7" t="s">
        <v>152</v>
      </c>
      <c r="D332" s="8"/>
      <c r="E332" s="218"/>
      <c r="F332" s="218"/>
      <c r="G332" s="218"/>
      <c r="H332" s="218"/>
      <c r="I332" s="218"/>
      <c r="J332" s="218"/>
      <c r="K332" s="218"/>
      <c r="L332" s="218"/>
      <c r="M332" s="281"/>
    </row>
    <row r="333" spans="1:13" x14ac:dyDescent="0.2">
      <c r="A333" s="231"/>
      <c r="B333" s="9"/>
      <c r="C333" s="7" t="s">
        <v>257</v>
      </c>
      <c r="D333" s="8"/>
      <c r="E333" s="218"/>
      <c r="F333" s="218">
        <v>0.8</v>
      </c>
      <c r="G333" s="218"/>
      <c r="H333" s="218"/>
      <c r="I333" s="218">
        <v>1.6</v>
      </c>
      <c r="J333" s="218">
        <f>F333*I333</f>
        <v>1.2800000000000002</v>
      </c>
      <c r="K333" s="218"/>
      <c r="L333" s="218"/>
      <c r="M333" s="281">
        <f t="shared" si="1"/>
        <v>1.2800000000000002</v>
      </c>
    </row>
    <row r="334" spans="1:13" x14ac:dyDescent="0.2">
      <c r="A334" s="231"/>
      <c r="B334" s="9"/>
      <c r="C334" s="7"/>
      <c r="D334" s="8"/>
      <c r="E334" s="218">
        <v>2</v>
      </c>
      <c r="F334" s="218">
        <v>0.2</v>
      </c>
      <c r="G334" s="218"/>
      <c r="H334" s="218"/>
      <c r="I334" s="218">
        <v>1.6</v>
      </c>
      <c r="J334" s="218">
        <f>I334*F334*E334</f>
        <v>0.64000000000000012</v>
      </c>
      <c r="K334" s="218"/>
      <c r="L334" s="218"/>
      <c r="M334" s="281">
        <f t="shared" si="1"/>
        <v>0.64000000000000012</v>
      </c>
    </row>
    <row r="335" spans="1:13" x14ac:dyDescent="0.2">
      <c r="A335" s="231"/>
      <c r="B335" s="9"/>
      <c r="C335" s="7" t="s">
        <v>260</v>
      </c>
      <c r="D335" s="8"/>
      <c r="E335" s="218"/>
      <c r="F335" s="218">
        <v>0.6</v>
      </c>
      <c r="G335" s="218"/>
      <c r="H335" s="218"/>
      <c r="I335" s="218">
        <v>2.1</v>
      </c>
      <c r="J335" s="218">
        <f>F335*I335</f>
        <v>1.26</v>
      </c>
      <c r="K335" s="218"/>
      <c r="L335" s="218"/>
      <c r="M335" s="281">
        <f t="shared" si="1"/>
        <v>1.26</v>
      </c>
    </row>
    <row r="336" spans="1:13" x14ac:dyDescent="0.2">
      <c r="A336" s="231"/>
      <c r="B336" s="9"/>
      <c r="C336" s="7" t="s">
        <v>258</v>
      </c>
      <c r="D336" s="8"/>
      <c r="E336" s="218"/>
      <c r="F336" s="218">
        <v>0.4</v>
      </c>
      <c r="G336" s="218"/>
      <c r="H336" s="218"/>
      <c r="I336" s="218">
        <v>1.6</v>
      </c>
      <c r="J336" s="218">
        <f t="shared" ref="J336:J341" si="2">F336*I336</f>
        <v>0.64000000000000012</v>
      </c>
      <c r="K336" s="218"/>
      <c r="L336" s="218"/>
      <c r="M336" s="281">
        <f t="shared" si="1"/>
        <v>0.64000000000000012</v>
      </c>
    </row>
    <row r="337" spans="1:13" x14ac:dyDescent="0.2">
      <c r="A337" s="231"/>
      <c r="B337" s="9"/>
      <c r="C337" s="7" t="s">
        <v>259</v>
      </c>
      <c r="D337" s="8"/>
      <c r="E337" s="218"/>
      <c r="F337" s="218">
        <v>0.4</v>
      </c>
      <c r="G337" s="218"/>
      <c r="H337" s="218"/>
      <c r="I337" s="218">
        <v>1.6</v>
      </c>
      <c r="J337" s="218">
        <f t="shared" si="2"/>
        <v>0.64000000000000012</v>
      </c>
      <c r="K337" s="218"/>
      <c r="L337" s="218"/>
      <c r="M337" s="281">
        <f t="shared" si="1"/>
        <v>0.64000000000000012</v>
      </c>
    </row>
    <row r="338" spans="1:13" x14ac:dyDescent="0.2">
      <c r="A338" s="231"/>
      <c r="B338" s="9"/>
      <c r="C338" s="7" t="s">
        <v>261</v>
      </c>
      <c r="D338" s="8"/>
      <c r="E338" s="218"/>
      <c r="F338" s="218">
        <v>0.8</v>
      </c>
      <c r="G338" s="218"/>
      <c r="H338" s="218"/>
      <c r="I338" s="218">
        <v>2.1</v>
      </c>
      <c r="J338" s="218">
        <f t="shared" si="2"/>
        <v>1.6800000000000002</v>
      </c>
      <c r="K338" s="218"/>
      <c r="L338" s="218"/>
      <c r="M338" s="281">
        <f t="shared" si="1"/>
        <v>1.6800000000000002</v>
      </c>
    </row>
    <row r="339" spans="1:13" x14ac:dyDescent="0.2">
      <c r="A339" s="231"/>
      <c r="B339" s="9"/>
      <c r="C339" s="7" t="s">
        <v>262</v>
      </c>
      <c r="D339" s="8"/>
      <c r="E339" s="218"/>
      <c r="F339" s="218">
        <v>0.2</v>
      </c>
      <c r="G339" s="218"/>
      <c r="H339" s="218"/>
      <c r="I339" s="218">
        <v>1.6</v>
      </c>
      <c r="J339" s="218">
        <f t="shared" si="2"/>
        <v>0.32000000000000006</v>
      </c>
      <c r="K339" s="218"/>
      <c r="L339" s="218"/>
      <c r="M339" s="281">
        <f t="shared" si="1"/>
        <v>0.32000000000000006</v>
      </c>
    </row>
    <row r="340" spans="1:13" x14ac:dyDescent="0.2">
      <c r="A340" s="231"/>
      <c r="B340" s="9"/>
      <c r="C340" s="7" t="s">
        <v>263</v>
      </c>
      <c r="D340" s="8"/>
      <c r="E340" s="218"/>
      <c r="F340" s="218">
        <v>1.2</v>
      </c>
      <c r="G340" s="218"/>
      <c r="H340" s="218"/>
      <c r="I340" s="218">
        <v>0.8</v>
      </c>
      <c r="J340" s="218">
        <f t="shared" si="2"/>
        <v>0.96</v>
      </c>
      <c r="K340" s="218"/>
      <c r="L340" s="218"/>
      <c r="M340" s="281">
        <f t="shared" si="1"/>
        <v>0.96</v>
      </c>
    </row>
    <row r="341" spans="1:13" x14ac:dyDescent="0.2">
      <c r="A341" s="231"/>
      <c r="B341" s="9"/>
      <c r="C341" s="7" t="s">
        <v>264</v>
      </c>
      <c r="D341" s="8"/>
      <c r="E341" s="218"/>
      <c r="F341" s="218">
        <v>0.4</v>
      </c>
      <c r="G341" s="218"/>
      <c r="H341" s="218"/>
      <c r="I341" s="218">
        <v>1.6</v>
      </c>
      <c r="J341" s="218">
        <f t="shared" si="2"/>
        <v>0.64000000000000012</v>
      </c>
      <c r="K341" s="218"/>
      <c r="L341" s="218"/>
      <c r="M341" s="281">
        <f t="shared" si="1"/>
        <v>0.64000000000000012</v>
      </c>
    </row>
    <row r="342" spans="1:13" x14ac:dyDescent="0.2">
      <c r="A342" s="231"/>
      <c r="B342" s="9"/>
      <c r="C342" s="7"/>
      <c r="D342" s="8"/>
      <c r="E342" s="218"/>
      <c r="F342" s="218"/>
      <c r="G342" s="218"/>
      <c r="H342" s="218"/>
      <c r="I342" s="218"/>
      <c r="J342" s="218"/>
      <c r="K342" s="218"/>
      <c r="L342" s="218"/>
      <c r="M342" s="273"/>
    </row>
    <row r="343" spans="1:13" x14ac:dyDescent="0.2">
      <c r="A343" s="231"/>
      <c r="B343" s="9"/>
      <c r="C343" s="7"/>
      <c r="D343" s="8"/>
      <c r="E343" s="218"/>
      <c r="F343" s="218"/>
      <c r="G343" s="218"/>
      <c r="H343" s="218"/>
      <c r="I343" s="218"/>
      <c r="J343" s="218"/>
      <c r="K343" s="218"/>
      <c r="L343" s="218"/>
      <c r="M343" s="273"/>
    </row>
    <row r="344" spans="1:13" ht="48" x14ac:dyDescent="0.2">
      <c r="A344" s="231" t="s">
        <v>82</v>
      </c>
      <c r="B344" s="9" t="s">
        <v>348</v>
      </c>
      <c r="C344" s="7" t="s">
        <v>83</v>
      </c>
      <c r="D344" s="17" t="s">
        <v>45</v>
      </c>
      <c r="E344" s="218"/>
      <c r="F344" s="218"/>
      <c r="G344" s="218"/>
      <c r="H344" s="218"/>
      <c r="I344" s="218"/>
      <c r="J344" s="218"/>
      <c r="K344" s="218"/>
      <c r="L344" s="218"/>
      <c r="M344" s="272">
        <f>SUM(M345)</f>
        <v>16.82</v>
      </c>
    </row>
    <row r="345" spans="1:13" x14ac:dyDescent="0.2">
      <c r="A345" s="231"/>
      <c r="B345" s="9"/>
      <c r="C345" s="7" t="s">
        <v>645</v>
      </c>
      <c r="D345" s="8"/>
      <c r="E345" s="218"/>
      <c r="F345" s="218"/>
      <c r="G345" s="218"/>
      <c r="H345" s="218">
        <v>16.82</v>
      </c>
      <c r="I345" s="218"/>
      <c r="J345" s="218"/>
      <c r="K345" s="218"/>
      <c r="L345" s="218"/>
      <c r="M345" s="273">
        <f>H345</f>
        <v>16.82</v>
      </c>
    </row>
    <row r="346" spans="1:13" x14ac:dyDescent="0.2">
      <c r="A346" s="231"/>
      <c r="B346" s="9"/>
      <c r="C346" s="7"/>
      <c r="D346" s="8"/>
      <c r="E346" s="218"/>
      <c r="F346" s="218"/>
      <c r="G346" s="218"/>
      <c r="H346" s="218"/>
      <c r="I346" s="218"/>
      <c r="J346" s="218"/>
      <c r="K346" s="218"/>
      <c r="L346" s="218"/>
      <c r="M346" s="273"/>
    </row>
    <row r="347" spans="1:13" ht="132" x14ac:dyDescent="0.2">
      <c r="A347" s="231" t="s">
        <v>86</v>
      </c>
      <c r="B347" s="9" t="s">
        <v>349</v>
      </c>
      <c r="C347" s="7" t="s">
        <v>87</v>
      </c>
      <c r="D347" s="17" t="s">
        <v>17</v>
      </c>
      <c r="E347" s="218"/>
      <c r="F347" s="218"/>
      <c r="G347" s="218"/>
      <c r="H347" s="218"/>
      <c r="I347" s="218"/>
      <c r="J347" s="218"/>
      <c r="K347" s="218"/>
      <c r="L347" s="218"/>
      <c r="M347" s="272">
        <f>SUM(M348:M350)</f>
        <v>34.199999999999996</v>
      </c>
    </row>
    <row r="348" spans="1:13" x14ac:dyDescent="0.2">
      <c r="A348" s="231"/>
      <c r="B348" s="9"/>
      <c r="C348" s="11" t="s">
        <v>179</v>
      </c>
      <c r="D348" s="10"/>
      <c r="E348" s="218"/>
      <c r="F348" s="218">
        <v>13.2</v>
      </c>
      <c r="G348" s="218"/>
      <c r="H348" s="218"/>
      <c r="I348" s="218">
        <v>1.8</v>
      </c>
      <c r="J348" s="218">
        <f>F348*I348</f>
        <v>23.759999999999998</v>
      </c>
      <c r="K348" s="218"/>
      <c r="L348" s="218"/>
      <c r="M348" s="273">
        <f>J348</f>
        <v>23.759999999999998</v>
      </c>
    </row>
    <row r="349" spans="1:13" x14ac:dyDescent="0.2">
      <c r="A349" s="231"/>
      <c r="B349" s="9"/>
      <c r="C349" s="11" t="s">
        <v>150</v>
      </c>
      <c r="D349" s="10"/>
      <c r="E349" s="218"/>
      <c r="F349" s="218">
        <v>6</v>
      </c>
      <c r="G349" s="218"/>
      <c r="H349" s="218"/>
      <c r="I349" s="218">
        <v>2.2999999999999998</v>
      </c>
      <c r="J349" s="218">
        <f>F349*I349</f>
        <v>13.799999999999999</v>
      </c>
      <c r="K349" s="218"/>
      <c r="L349" s="218"/>
      <c r="M349" s="273">
        <f>J349</f>
        <v>13.799999999999999</v>
      </c>
    </row>
    <row r="350" spans="1:13" x14ac:dyDescent="0.2">
      <c r="A350" s="231"/>
      <c r="B350" s="9"/>
      <c r="C350" s="11" t="s">
        <v>648</v>
      </c>
      <c r="D350" s="10"/>
      <c r="E350" s="218"/>
      <c r="F350" s="218">
        <v>1.6</v>
      </c>
      <c r="G350" s="218"/>
      <c r="H350" s="218"/>
      <c r="I350" s="218">
        <v>2.1</v>
      </c>
      <c r="J350" s="218">
        <f>-F350*I350</f>
        <v>-3.3600000000000003</v>
      </c>
      <c r="K350" s="218"/>
      <c r="L350" s="218"/>
      <c r="M350" s="273">
        <f>J350</f>
        <v>-3.3600000000000003</v>
      </c>
    </row>
    <row r="351" spans="1:13" x14ac:dyDescent="0.2">
      <c r="A351" s="231"/>
      <c r="B351" s="9"/>
      <c r="C351" s="11"/>
      <c r="D351" s="10"/>
      <c r="E351" s="218"/>
      <c r="F351" s="218"/>
      <c r="G351" s="218"/>
      <c r="H351" s="218"/>
      <c r="I351" s="218"/>
      <c r="J351" s="218"/>
      <c r="K351" s="218"/>
      <c r="L351" s="218"/>
      <c r="M351" s="273"/>
    </row>
    <row r="352" spans="1:13" ht="84" x14ac:dyDescent="0.2">
      <c r="A352" s="231" t="s">
        <v>649</v>
      </c>
      <c r="B352" s="9" t="s">
        <v>705</v>
      </c>
      <c r="C352" s="7" t="s">
        <v>650</v>
      </c>
      <c r="D352" s="17" t="s">
        <v>17</v>
      </c>
      <c r="E352" s="218"/>
      <c r="F352" s="218"/>
      <c r="G352" s="218"/>
      <c r="H352" s="218"/>
      <c r="I352" s="218"/>
      <c r="J352" s="218"/>
      <c r="K352" s="218"/>
      <c r="L352" s="218"/>
      <c r="M352" s="272">
        <f>SUM(M353)</f>
        <v>5.88</v>
      </c>
    </row>
    <row r="353" spans="1:13" x14ac:dyDescent="0.2">
      <c r="A353" s="231"/>
      <c r="B353" s="9"/>
      <c r="C353" s="7" t="s">
        <v>152</v>
      </c>
      <c r="D353" s="17"/>
      <c r="E353" s="218"/>
      <c r="F353" s="218"/>
      <c r="G353" s="218"/>
      <c r="H353" s="218"/>
      <c r="I353" s="218"/>
      <c r="J353" s="218"/>
      <c r="K353" s="218"/>
      <c r="L353" s="218"/>
      <c r="M353" s="282">
        <f>SUM(M354:M355)</f>
        <v>5.88</v>
      </c>
    </row>
    <row r="354" spans="1:13" x14ac:dyDescent="0.2">
      <c r="A354" s="231"/>
      <c r="B354" s="9"/>
      <c r="C354" s="7" t="s">
        <v>651</v>
      </c>
      <c r="D354" s="17"/>
      <c r="E354" s="218">
        <v>2</v>
      </c>
      <c r="F354" s="218">
        <v>1.17</v>
      </c>
      <c r="G354" s="218"/>
      <c r="H354" s="218"/>
      <c r="I354" s="218">
        <v>2</v>
      </c>
      <c r="J354" s="218"/>
      <c r="K354" s="218"/>
      <c r="L354" s="218"/>
      <c r="M354" s="273">
        <f>E354*F354*I354</f>
        <v>4.68</v>
      </c>
    </row>
    <row r="355" spans="1:13" x14ac:dyDescent="0.2">
      <c r="A355" s="231"/>
      <c r="B355" s="9"/>
      <c r="C355" s="7"/>
      <c r="D355" s="17"/>
      <c r="E355" s="218">
        <v>4</v>
      </c>
      <c r="F355" s="218">
        <v>0.15</v>
      </c>
      <c r="G355" s="218"/>
      <c r="H355" s="218"/>
      <c r="I355" s="218">
        <v>2</v>
      </c>
      <c r="J355" s="218"/>
      <c r="K355" s="218"/>
      <c r="L355" s="218"/>
      <c r="M355" s="273">
        <f>E355*F355*I355</f>
        <v>1.2</v>
      </c>
    </row>
    <row r="356" spans="1:13" x14ac:dyDescent="0.2">
      <c r="A356" s="231"/>
      <c r="B356" s="9"/>
      <c r="C356" s="7"/>
      <c r="D356" s="17"/>
      <c r="E356" s="218"/>
      <c r="F356" s="218"/>
      <c r="G356" s="218"/>
      <c r="H356" s="218"/>
      <c r="I356" s="218"/>
      <c r="J356" s="218"/>
      <c r="K356" s="218"/>
      <c r="L356" s="218"/>
      <c r="M356" s="273"/>
    </row>
    <row r="357" spans="1:13" x14ac:dyDescent="0.2">
      <c r="A357" s="231"/>
      <c r="B357" s="9"/>
      <c r="C357" s="11"/>
      <c r="D357" s="10"/>
      <c r="E357" s="218"/>
      <c r="F357" s="218"/>
      <c r="G357" s="218"/>
      <c r="H357" s="218"/>
      <c r="I357" s="218"/>
      <c r="J357" s="218"/>
      <c r="K357" s="218"/>
      <c r="L357" s="218"/>
      <c r="M357" s="273"/>
    </row>
    <row r="358" spans="1:13" x14ac:dyDescent="0.2">
      <c r="A358" s="274"/>
      <c r="B358" s="29" t="s">
        <v>113</v>
      </c>
      <c r="C358" s="30" t="s">
        <v>106</v>
      </c>
      <c r="D358" s="31"/>
      <c r="E358" s="31"/>
      <c r="F358" s="31"/>
      <c r="G358" s="31"/>
      <c r="H358" s="31"/>
      <c r="I358" s="31"/>
      <c r="J358" s="31"/>
      <c r="K358" s="31"/>
      <c r="L358" s="31"/>
      <c r="M358" s="275"/>
    </row>
    <row r="359" spans="1:13" ht="36" x14ac:dyDescent="0.2">
      <c r="A359" s="231" t="s">
        <v>88</v>
      </c>
      <c r="B359" s="9" t="s">
        <v>308</v>
      </c>
      <c r="C359" s="7" t="s">
        <v>89</v>
      </c>
      <c r="D359" s="17" t="s">
        <v>17</v>
      </c>
      <c r="E359" s="218"/>
      <c r="F359" s="218"/>
      <c r="G359" s="218"/>
      <c r="H359" s="218"/>
      <c r="I359" s="218"/>
      <c r="J359" s="218"/>
      <c r="K359" s="218"/>
      <c r="L359" s="218"/>
      <c r="M359" s="272">
        <f>SUM(M362:M424)</f>
        <v>235.96400000000008</v>
      </c>
    </row>
    <row r="360" spans="1:13" x14ac:dyDescent="0.2">
      <c r="A360" s="231"/>
      <c r="B360" s="9"/>
      <c r="C360" s="7"/>
      <c r="D360" s="17"/>
      <c r="E360" s="218"/>
      <c r="F360" s="218"/>
      <c r="G360" s="218"/>
      <c r="H360" s="218"/>
      <c r="I360" s="218"/>
      <c r="J360" s="218"/>
      <c r="K360" s="218"/>
      <c r="L360" s="218"/>
      <c r="M360" s="277"/>
    </row>
    <row r="361" spans="1:13" x14ac:dyDescent="0.2">
      <c r="A361" s="231"/>
      <c r="B361" s="9"/>
      <c r="C361" s="7" t="s">
        <v>150</v>
      </c>
      <c r="D361" s="8"/>
      <c r="E361" s="218"/>
      <c r="F361" s="218"/>
      <c r="G361" s="218"/>
      <c r="H361" s="218"/>
      <c r="I361" s="218"/>
      <c r="J361" s="218"/>
      <c r="K361" s="218"/>
      <c r="L361" s="218"/>
      <c r="M361" s="273"/>
    </row>
    <row r="362" spans="1:13" x14ac:dyDescent="0.2">
      <c r="A362" s="231"/>
      <c r="B362" s="9"/>
      <c r="C362" s="7" t="s">
        <v>385</v>
      </c>
      <c r="D362" s="8"/>
      <c r="E362" s="218"/>
      <c r="F362" s="218"/>
      <c r="G362" s="218">
        <v>10</v>
      </c>
      <c r="H362" s="218"/>
      <c r="I362" s="218">
        <v>2.2999999999999998</v>
      </c>
      <c r="J362" s="218">
        <f>G362*I362</f>
        <v>23</v>
      </c>
      <c r="K362" s="218"/>
      <c r="L362" s="218"/>
      <c r="M362" s="273">
        <f>J362</f>
        <v>23</v>
      </c>
    </row>
    <row r="363" spans="1:13" x14ac:dyDescent="0.2">
      <c r="A363" s="231"/>
      <c r="B363" s="9"/>
      <c r="C363" s="7" t="s">
        <v>383</v>
      </c>
      <c r="D363" s="8"/>
      <c r="E363" s="218"/>
      <c r="F363" s="218"/>
      <c r="G363" s="218"/>
      <c r="H363" s="218"/>
      <c r="I363" s="218"/>
      <c r="J363" s="218">
        <v>2</v>
      </c>
      <c r="K363" s="218"/>
      <c r="L363" s="218"/>
      <c r="M363" s="273">
        <f>J363</f>
        <v>2</v>
      </c>
    </row>
    <row r="364" spans="1:13" x14ac:dyDescent="0.2">
      <c r="A364" s="231"/>
      <c r="B364" s="9"/>
      <c r="C364" s="7"/>
      <c r="D364" s="8"/>
      <c r="E364" s="218"/>
      <c r="F364" s="218"/>
      <c r="G364" s="218"/>
      <c r="H364" s="218"/>
      <c r="I364" s="218"/>
      <c r="J364" s="218"/>
      <c r="K364" s="218"/>
      <c r="L364" s="218"/>
      <c r="M364" s="273"/>
    </row>
    <row r="365" spans="1:13" x14ac:dyDescent="0.2">
      <c r="A365" s="231"/>
      <c r="B365" s="9"/>
      <c r="C365" s="7" t="s">
        <v>151</v>
      </c>
      <c r="D365" s="8"/>
      <c r="E365" s="218"/>
      <c r="F365" s="218"/>
      <c r="G365" s="218"/>
      <c r="H365" s="218"/>
      <c r="I365" s="218"/>
      <c r="J365" s="218"/>
      <c r="K365" s="218"/>
      <c r="L365" s="218"/>
      <c r="M365" s="273"/>
    </row>
    <row r="366" spans="1:13" x14ac:dyDescent="0.2">
      <c r="A366" s="231"/>
      <c r="B366" s="9"/>
      <c r="C366" s="7" t="s">
        <v>158</v>
      </c>
      <c r="D366" s="8"/>
      <c r="E366" s="218">
        <v>2</v>
      </c>
      <c r="F366" s="218">
        <v>3.25</v>
      </c>
      <c r="G366" s="218"/>
      <c r="H366" s="218"/>
      <c r="I366" s="218">
        <v>1.6</v>
      </c>
      <c r="J366" s="218"/>
      <c r="K366" s="218"/>
      <c r="L366" s="218"/>
      <c r="M366" s="273">
        <f>E366*F366*I366</f>
        <v>10.4</v>
      </c>
    </row>
    <row r="367" spans="1:13" x14ac:dyDescent="0.2">
      <c r="A367" s="231"/>
      <c r="B367" s="9" t="s">
        <v>154</v>
      </c>
      <c r="C367" s="7"/>
      <c r="D367" s="8"/>
      <c r="E367" s="218">
        <v>4</v>
      </c>
      <c r="F367" s="218">
        <v>0.75</v>
      </c>
      <c r="G367" s="218"/>
      <c r="H367" s="218"/>
      <c r="I367" s="218">
        <v>1.6</v>
      </c>
      <c r="J367" s="218"/>
      <c r="K367" s="218"/>
      <c r="L367" s="218"/>
      <c r="M367" s="273">
        <f>E367*F367*I367</f>
        <v>4.8000000000000007</v>
      </c>
    </row>
    <row r="368" spans="1:13" x14ac:dyDescent="0.2">
      <c r="A368" s="231"/>
      <c r="B368" s="9"/>
      <c r="C368" s="7"/>
      <c r="D368" s="8"/>
      <c r="E368" s="218"/>
      <c r="F368" s="218"/>
      <c r="G368" s="218"/>
      <c r="H368" s="218"/>
      <c r="I368" s="218"/>
      <c r="J368" s="218"/>
      <c r="K368" s="218"/>
      <c r="L368" s="218"/>
      <c r="M368" s="273"/>
    </row>
    <row r="369" spans="1:16" x14ac:dyDescent="0.2">
      <c r="A369" s="231"/>
      <c r="B369" s="9"/>
      <c r="C369" s="7" t="s">
        <v>386</v>
      </c>
      <c r="D369" s="8"/>
      <c r="E369" s="218"/>
      <c r="F369" s="218"/>
      <c r="G369" s="218"/>
      <c r="H369" s="218"/>
      <c r="I369" s="218"/>
      <c r="J369" s="218"/>
      <c r="K369" s="218"/>
      <c r="L369" s="218"/>
      <c r="M369" s="273"/>
    </row>
    <row r="370" spans="1:16" x14ac:dyDescent="0.2">
      <c r="A370" s="231"/>
      <c r="B370" s="9"/>
      <c r="C370" s="7" t="s">
        <v>384</v>
      </c>
      <c r="D370" s="8"/>
      <c r="E370" s="218"/>
      <c r="F370" s="218"/>
      <c r="G370" s="218">
        <v>7.2</v>
      </c>
      <c r="H370" s="218"/>
      <c r="I370" s="218">
        <v>3.2</v>
      </c>
      <c r="J370" s="218"/>
      <c r="K370" s="218"/>
      <c r="L370" s="218"/>
      <c r="M370" s="273">
        <f>G370*I370</f>
        <v>23.040000000000003</v>
      </c>
      <c r="P370" s="1">
        <v>230.2</v>
      </c>
    </row>
    <row r="371" spans="1:16" x14ac:dyDescent="0.2">
      <c r="A371" s="231"/>
      <c r="B371" s="9"/>
      <c r="C371" s="7"/>
      <c r="D371" s="8"/>
      <c r="E371" s="218"/>
      <c r="F371" s="218">
        <v>0.6</v>
      </c>
      <c r="G371" s="218"/>
      <c r="H371" s="218"/>
      <c r="I371" s="218">
        <v>2.1</v>
      </c>
      <c r="J371" s="218"/>
      <c r="K371" s="218"/>
      <c r="L371" s="218"/>
      <c r="M371" s="273">
        <f>F371*I371</f>
        <v>1.26</v>
      </c>
      <c r="P371" s="1">
        <v>183.55</v>
      </c>
    </row>
    <row r="372" spans="1:16" x14ac:dyDescent="0.2">
      <c r="A372" s="231"/>
      <c r="B372" s="9"/>
      <c r="C372" s="7" t="s">
        <v>160</v>
      </c>
      <c r="D372" s="8"/>
      <c r="E372" s="218"/>
      <c r="F372" s="218"/>
      <c r="G372" s="218"/>
      <c r="H372" s="218"/>
      <c r="I372" s="218"/>
      <c r="J372" s="218"/>
      <c r="K372" s="218"/>
      <c r="L372" s="218"/>
      <c r="M372" s="273"/>
      <c r="P372" s="1">
        <f>P370-P371</f>
        <v>46.649999999999977</v>
      </c>
    </row>
    <row r="373" spans="1:16" x14ac:dyDescent="0.2">
      <c r="A373" s="231"/>
      <c r="B373" s="9"/>
      <c r="C373" s="7" t="s">
        <v>387</v>
      </c>
      <c r="D373" s="8"/>
      <c r="E373" s="218"/>
      <c r="F373" s="218">
        <v>0.6</v>
      </c>
      <c r="G373" s="218"/>
      <c r="H373" s="218"/>
      <c r="I373" s="218">
        <v>2.4</v>
      </c>
      <c r="J373" s="218"/>
      <c r="K373" s="218"/>
      <c r="L373" s="218"/>
      <c r="M373" s="273">
        <f>F373*I373</f>
        <v>1.44</v>
      </c>
    </row>
    <row r="374" spans="1:16" x14ac:dyDescent="0.2">
      <c r="A374" s="231"/>
      <c r="B374" s="9"/>
      <c r="C374" s="7" t="s">
        <v>388</v>
      </c>
      <c r="D374" s="8"/>
      <c r="E374" s="218">
        <v>2</v>
      </c>
      <c r="F374" s="218">
        <v>0.8</v>
      </c>
      <c r="G374" s="218"/>
      <c r="H374" s="218"/>
      <c r="I374" s="218">
        <v>2.1</v>
      </c>
      <c r="J374" s="218"/>
      <c r="K374" s="218"/>
      <c r="L374" s="218"/>
      <c r="M374" s="273">
        <f>E374*F374*I374</f>
        <v>3.3600000000000003</v>
      </c>
    </row>
    <row r="375" spans="1:16" x14ac:dyDescent="0.2">
      <c r="A375" s="231"/>
      <c r="B375" s="9"/>
      <c r="C375" s="7"/>
      <c r="D375" s="8"/>
      <c r="E375" s="218"/>
      <c r="F375" s="218"/>
      <c r="G375" s="218"/>
      <c r="H375" s="218"/>
      <c r="I375" s="218"/>
      <c r="J375" s="218"/>
      <c r="K375" s="218"/>
      <c r="L375" s="218"/>
      <c r="M375" s="273"/>
    </row>
    <row r="376" spans="1:16" x14ac:dyDescent="0.2">
      <c r="A376" s="231"/>
      <c r="B376" s="9"/>
      <c r="C376" s="7" t="s">
        <v>159</v>
      </c>
      <c r="D376" s="8"/>
      <c r="E376" s="218"/>
      <c r="F376" s="218"/>
      <c r="G376" s="218"/>
      <c r="H376" s="218"/>
      <c r="I376" s="218"/>
      <c r="J376" s="218"/>
      <c r="K376" s="218"/>
      <c r="L376" s="218"/>
      <c r="M376" s="273"/>
    </row>
    <row r="377" spans="1:16" x14ac:dyDescent="0.2">
      <c r="A377" s="231"/>
      <c r="B377" s="9"/>
      <c r="C377" s="7"/>
      <c r="D377" s="8"/>
      <c r="E377" s="218">
        <v>4</v>
      </c>
      <c r="F377" s="218">
        <v>1.05</v>
      </c>
      <c r="G377" s="218"/>
      <c r="H377" s="218"/>
      <c r="I377" s="218">
        <v>1.6</v>
      </c>
      <c r="J377" s="218"/>
      <c r="K377" s="218"/>
      <c r="L377" s="218"/>
      <c r="M377" s="273">
        <f>E377*F377*I377</f>
        <v>6.7200000000000006</v>
      </c>
    </row>
    <row r="378" spans="1:16" x14ac:dyDescent="0.2">
      <c r="A378" s="231"/>
      <c r="B378" s="9"/>
      <c r="C378" s="7"/>
      <c r="D378" s="8"/>
      <c r="E378" s="218"/>
      <c r="F378" s="218"/>
      <c r="G378" s="218"/>
      <c r="H378" s="218"/>
      <c r="I378" s="218"/>
      <c r="J378" s="218"/>
      <c r="K378" s="218"/>
      <c r="L378" s="218"/>
      <c r="M378" s="273"/>
    </row>
    <row r="379" spans="1:16" x14ac:dyDescent="0.2">
      <c r="A379" s="231"/>
      <c r="B379" s="9"/>
      <c r="C379" s="7" t="s">
        <v>389</v>
      </c>
      <c r="D379" s="8"/>
      <c r="E379" s="218"/>
      <c r="F379" s="218"/>
      <c r="G379" s="218"/>
      <c r="H379" s="218"/>
      <c r="I379" s="218"/>
      <c r="J379" s="218"/>
      <c r="K379" s="218"/>
      <c r="L379" s="218"/>
      <c r="M379" s="273"/>
    </row>
    <row r="380" spans="1:16" x14ac:dyDescent="0.2">
      <c r="A380" s="231"/>
      <c r="B380" s="9"/>
      <c r="C380" s="7"/>
      <c r="D380" s="8"/>
      <c r="E380" s="218">
        <v>2</v>
      </c>
      <c r="F380" s="218">
        <v>0.75</v>
      </c>
      <c r="G380" s="218"/>
      <c r="H380" s="218"/>
      <c r="I380" s="218">
        <v>1.6</v>
      </c>
      <c r="J380" s="218"/>
      <c r="K380" s="218"/>
      <c r="L380" s="218"/>
      <c r="M380" s="273">
        <f>E380*F380*I380</f>
        <v>2.4000000000000004</v>
      </c>
    </row>
    <row r="381" spans="1:16" x14ac:dyDescent="0.2">
      <c r="A381" s="231"/>
      <c r="B381" s="9"/>
      <c r="C381" s="7"/>
      <c r="D381" s="8"/>
      <c r="E381" s="218"/>
      <c r="F381" s="218"/>
      <c r="G381" s="218"/>
      <c r="H381" s="218"/>
      <c r="I381" s="218"/>
      <c r="J381" s="218"/>
      <c r="K381" s="218"/>
      <c r="L381" s="218"/>
      <c r="M381" s="273"/>
    </row>
    <row r="382" spans="1:16" x14ac:dyDescent="0.2">
      <c r="A382" s="231"/>
      <c r="B382" s="9"/>
      <c r="C382" s="7" t="s">
        <v>390</v>
      </c>
      <c r="D382" s="8"/>
      <c r="E382" s="218"/>
      <c r="F382" s="218"/>
      <c r="G382" s="218"/>
      <c r="H382" s="218"/>
      <c r="I382" s="218"/>
      <c r="J382" s="218"/>
      <c r="K382" s="218"/>
      <c r="L382" s="218"/>
      <c r="M382" s="273"/>
    </row>
    <row r="383" spans="1:16" ht="24" x14ac:dyDescent="0.2">
      <c r="A383" s="231"/>
      <c r="B383" s="9"/>
      <c r="C383" s="7" t="s">
        <v>391</v>
      </c>
      <c r="D383" s="8"/>
      <c r="E383" s="218"/>
      <c r="F383" s="218"/>
      <c r="G383" s="218">
        <v>7.15</v>
      </c>
      <c r="H383" s="218"/>
      <c r="I383" s="218">
        <v>2.4</v>
      </c>
      <c r="J383" s="218"/>
      <c r="K383" s="218"/>
      <c r="L383" s="218"/>
      <c r="M383" s="273">
        <f>G383*I383</f>
        <v>17.16</v>
      </c>
    </row>
    <row r="384" spans="1:16" ht="24" x14ac:dyDescent="0.2">
      <c r="A384" s="231"/>
      <c r="B384" s="9"/>
      <c r="C384" s="7" t="s">
        <v>392</v>
      </c>
      <c r="D384" s="8"/>
      <c r="E384" s="218"/>
      <c r="F384" s="218"/>
      <c r="G384" s="218">
        <v>6.3</v>
      </c>
      <c r="H384" s="218"/>
      <c r="I384" s="218">
        <v>2.4</v>
      </c>
      <c r="J384" s="218"/>
      <c r="K384" s="218"/>
      <c r="L384" s="218"/>
      <c r="M384" s="273">
        <f>G384*I384</f>
        <v>15.12</v>
      </c>
    </row>
    <row r="385" spans="1:13" ht="24" x14ac:dyDescent="0.2">
      <c r="A385" s="231"/>
      <c r="B385" s="9"/>
      <c r="C385" s="7" t="s">
        <v>393</v>
      </c>
      <c r="D385" s="8"/>
      <c r="E385" s="218"/>
      <c r="F385" s="218"/>
      <c r="G385" s="218">
        <v>7.01</v>
      </c>
      <c r="H385" s="218"/>
      <c r="I385" s="218">
        <v>2.4</v>
      </c>
      <c r="J385" s="218"/>
      <c r="K385" s="218"/>
      <c r="L385" s="218"/>
      <c r="M385" s="273">
        <f>G385*I385</f>
        <v>16.823999999999998</v>
      </c>
    </row>
    <row r="386" spans="1:13" x14ac:dyDescent="0.2">
      <c r="A386" s="231"/>
      <c r="B386" s="9"/>
      <c r="C386" s="7"/>
      <c r="D386" s="8"/>
      <c r="E386" s="218"/>
      <c r="F386" s="218"/>
      <c r="G386" s="218"/>
      <c r="H386" s="218"/>
      <c r="I386" s="218"/>
      <c r="J386" s="218"/>
      <c r="K386" s="218"/>
      <c r="L386" s="218"/>
      <c r="M386" s="273"/>
    </row>
    <row r="387" spans="1:13" x14ac:dyDescent="0.2">
      <c r="A387" s="236"/>
      <c r="B387" s="344"/>
      <c r="C387" s="345" t="s">
        <v>179</v>
      </c>
      <c r="D387" s="346"/>
      <c r="E387" s="347"/>
      <c r="F387" s="347"/>
      <c r="G387" s="347"/>
      <c r="H387" s="347"/>
      <c r="I387" s="347"/>
      <c r="J387" s="347"/>
      <c r="K387" s="347"/>
      <c r="L387" s="347"/>
      <c r="M387" s="342"/>
    </row>
    <row r="388" spans="1:13" x14ac:dyDescent="0.2">
      <c r="A388" s="231"/>
      <c r="B388" s="9"/>
      <c r="C388" s="7" t="s">
        <v>164</v>
      </c>
      <c r="D388" s="8"/>
      <c r="E388" s="218">
        <v>2</v>
      </c>
      <c r="F388" s="218">
        <v>3.25</v>
      </c>
      <c r="G388" s="218"/>
      <c r="H388" s="218"/>
      <c r="I388" s="218">
        <v>1.3</v>
      </c>
      <c r="J388" s="218"/>
      <c r="K388" s="218"/>
      <c r="L388" s="218"/>
      <c r="M388" s="273">
        <f>E388*F388*I388</f>
        <v>8.4500000000000011</v>
      </c>
    </row>
    <row r="389" spans="1:13" x14ac:dyDescent="0.2">
      <c r="A389" s="231"/>
      <c r="B389" s="9"/>
      <c r="C389" s="7"/>
      <c r="D389" s="8"/>
      <c r="E389" s="218">
        <v>4</v>
      </c>
      <c r="F389" s="218">
        <v>0.75</v>
      </c>
      <c r="G389" s="218"/>
      <c r="H389" s="218"/>
      <c r="I389" s="218">
        <v>1.3</v>
      </c>
      <c r="J389" s="218"/>
      <c r="K389" s="218"/>
      <c r="L389" s="218"/>
      <c r="M389" s="273">
        <f>E389*F389*I389</f>
        <v>3.9000000000000004</v>
      </c>
    </row>
    <row r="390" spans="1:13" x14ac:dyDescent="0.2">
      <c r="A390" s="231"/>
      <c r="B390" s="9"/>
      <c r="C390" s="7"/>
      <c r="D390" s="8"/>
      <c r="E390" s="218"/>
      <c r="F390" s="218"/>
      <c r="G390" s="218"/>
      <c r="H390" s="218"/>
      <c r="I390" s="218"/>
      <c r="J390" s="218"/>
      <c r="K390" s="218"/>
      <c r="L390" s="218"/>
      <c r="M390" s="273"/>
    </row>
    <row r="391" spans="1:13" x14ac:dyDescent="0.2">
      <c r="A391" s="231"/>
      <c r="B391" s="9"/>
      <c r="C391" s="7" t="s">
        <v>163</v>
      </c>
      <c r="D391" s="8"/>
      <c r="E391" s="218"/>
      <c r="F391" s="218"/>
      <c r="G391" s="218"/>
      <c r="H391" s="218"/>
      <c r="I391" s="218"/>
      <c r="J391" s="218"/>
      <c r="K391" s="218"/>
      <c r="L391" s="218"/>
      <c r="M391" s="273"/>
    </row>
    <row r="392" spans="1:13" x14ac:dyDescent="0.2">
      <c r="A392" s="231"/>
      <c r="B392" s="9"/>
      <c r="C392" s="7"/>
      <c r="D392" s="8"/>
      <c r="E392" s="218">
        <v>4</v>
      </c>
      <c r="F392" s="218">
        <v>1.05</v>
      </c>
      <c r="G392" s="218"/>
      <c r="H392" s="218"/>
      <c r="I392" s="218">
        <v>1.3</v>
      </c>
      <c r="J392" s="218"/>
      <c r="K392" s="218"/>
      <c r="L392" s="218"/>
      <c r="M392" s="273">
        <f>E392*F392*I392</f>
        <v>5.4600000000000009</v>
      </c>
    </row>
    <row r="393" spans="1:13" x14ac:dyDescent="0.2">
      <c r="A393" s="231"/>
      <c r="B393" s="9"/>
      <c r="C393" s="7"/>
      <c r="D393" s="8"/>
      <c r="E393" s="218"/>
      <c r="F393" s="218"/>
      <c r="G393" s="218"/>
      <c r="H393" s="218"/>
      <c r="I393" s="218"/>
      <c r="J393" s="218"/>
      <c r="K393" s="218"/>
      <c r="L393" s="218"/>
      <c r="M393" s="273"/>
    </row>
    <row r="394" spans="1:13" x14ac:dyDescent="0.2">
      <c r="A394" s="231"/>
      <c r="B394" s="9"/>
      <c r="C394" s="7" t="s">
        <v>203</v>
      </c>
      <c r="D394" s="8"/>
      <c r="E394" s="218"/>
      <c r="F394" s="218"/>
      <c r="G394" s="218"/>
      <c r="H394" s="218"/>
      <c r="I394" s="218"/>
      <c r="J394" s="218"/>
      <c r="K394" s="218"/>
      <c r="L394" s="218"/>
      <c r="M394" s="273"/>
    </row>
    <row r="395" spans="1:13" x14ac:dyDescent="0.2">
      <c r="A395" s="231"/>
      <c r="B395" s="9"/>
      <c r="C395" s="7"/>
      <c r="D395" s="8"/>
      <c r="E395" s="218">
        <v>2</v>
      </c>
      <c r="F395" s="218">
        <v>0.75</v>
      </c>
      <c r="G395" s="218"/>
      <c r="H395" s="218"/>
      <c r="I395" s="218">
        <v>1.3</v>
      </c>
      <c r="J395" s="218"/>
      <c r="K395" s="218"/>
      <c r="L395" s="218"/>
      <c r="M395" s="273">
        <f>E395*F395*I395</f>
        <v>1.9500000000000002</v>
      </c>
    </row>
    <row r="396" spans="1:13" x14ac:dyDescent="0.2">
      <c r="A396" s="231"/>
      <c r="B396" s="9"/>
      <c r="C396" s="7"/>
      <c r="D396" s="8"/>
      <c r="E396" s="218"/>
      <c r="F396" s="218"/>
      <c r="G396" s="218"/>
      <c r="H396" s="218"/>
      <c r="I396" s="218"/>
      <c r="J396" s="218"/>
      <c r="K396" s="218"/>
      <c r="L396" s="218"/>
      <c r="M396" s="273"/>
    </row>
    <row r="397" spans="1:13" x14ac:dyDescent="0.2">
      <c r="A397" s="231"/>
      <c r="B397" s="9"/>
      <c r="C397" s="7" t="s">
        <v>152</v>
      </c>
      <c r="D397" s="8"/>
      <c r="E397" s="218"/>
      <c r="F397" s="218"/>
      <c r="G397" s="218"/>
      <c r="H397" s="218"/>
      <c r="I397" s="218"/>
      <c r="J397" s="218"/>
      <c r="K397" s="218"/>
      <c r="L397" s="218"/>
      <c r="M397" s="273"/>
    </row>
    <row r="398" spans="1:13" x14ac:dyDescent="0.2">
      <c r="A398" s="231"/>
      <c r="B398" s="9"/>
      <c r="C398" s="7" t="s">
        <v>218</v>
      </c>
      <c r="D398" s="8"/>
      <c r="E398" s="218">
        <v>2</v>
      </c>
      <c r="F398" s="218">
        <v>3.25</v>
      </c>
      <c r="G398" s="218"/>
      <c r="H398" s="218"/>
      <c r="I398" s="218">
        <v>1.6</v>
      </c>
      <c r="J398" s="218"/>
      <c r="K398" s="218"/>
      <c r="L398" s="218"/>
      <c r="M398" s="273">
        <f>E398*F398*I398</f>
        <v>10.4</v>
      </c>
    </row>
    <row r="399" spans="1:13" x14ac:dyDescent="0.2">
      <c r="A399" s="231"/>
      <c r="B399" s="9"/>
      <c r="C399" s="7"/>
      <c r="D399" s="8"/>
      <c r="E399" s="218">
        <v>4</v>
      </c>
      <c r="F399" s="218">
        <v>0.75</v>
      </c>
      <c r="G399" s="218"/>
      <c r="H399" s="218"/>
      <c r="I399" s="218">
        <v>1.6</v>
      </c>
      <c r="J399" s="218"/>
      <c r="K399" s="218"/>
      <c r="L399" s="218"/>
      <c r="M399" s="273">
        <f>E399*F399*I399</f>
        <v>4.8000000000000007</v>
      </c>
    </row>
    <row r="400" spans="1:13" x14ac:dyDescent="0.2">
      <c r="A400" s="231"/>
      <c r="B400" s="9"/>
      <c r="C400" s="7"/>
      <c r="D400" s="17"/>
      <c r="E400" s="218"/>
      <c r="F400" s="218"/>
      <c r="G400" s="218"/>
      <c r="H400" s="218"/>
      <c r="I400" s="218"/>
      <c r="J400" s="218"/>
      <c r="K400" s="218"/>
      <c r="L400" s="218"/>
      <c r="M400" s="277"/>
    </row>
    <row r="401" spans="1:13" x14ac:dyDescent="0.2">
      <c r="A401" s="231"/>
      <c r="B401" s="9"/>
      <c r="C401" s="7" t="s">
        <v>394</v>
      </c>
      <c r="D401" s="17"/>
      <c r="E401" s="218"/>
      <c r="F401" s="218"/>
      <c r="G401" s="218"/>
      <c r="H401" s="218"/>
      <c r="I401" s="218"/>
      <c r="J401" s="218"/>
      <c r="K401" s="218"/>
      <c r="L401" s="218"/>
      <c r="M401" s="277"/>
    </row>
    <row r="402" spans="1:13" x14ac:dyDescent="0.2">
      <c r="A402" s="231"/>
      <c r="B402" s="9"/>
      <c r="C402" s="7" t="s">
        <v>395</v>
      </c>
      <c r="D402" s="17"/>
      <c r="E402" s="218">
        <v>2</v>
      </c>
      <c r="F402" s="218">
        <v>0.15</v>
      </c>
      <c r="G402" s="218"/>
      <c r="H402" s="218"/>
      <c r="I402" s="218">
        <v>2.8</v>
      </c>
      <c r="J402" s="218"/>
      <c r="K402" s="218"/>
      <c r="L402" s="218"/>
      <c r="M402" s="281">
        <f>E402*F402*I402</f>
        <v>0.84</v>
      </c>
    </row>
    <row r="403" spans="1:13" x14ac:dyDescent="0.2">
      <c r="A403" s="231"/>
      <c r="B403" s="9"/>
      <c r="C403" s="7" t="s">
        <v>388</v>
      </c>
      <c r="D403" s="17"/>
      <c r="E403" s="218">
        <v>2</v>
      </c>
      <c r="F403" s="218">
        <v>0.6</v>
      </c>
      <c r="G403" s="218"/>
      <c r="H403" s="218"/>
      <c r="I403" s="218">
        <v>2.1</v>
      </c>
      <c r="J403" s="218"/>
      <c r="K403" s="218"/>
      <c r="L403" s="218"/>
      <c r="M403" s="281">
        <f>E403*F403*I403</f>
        <v>2.52</v>
      </c>
    </row>
    <row r="404" spans="1:13" x14ac:dyDescent="0.2">
      <c r="A404" s="231"/>
      <c r="B404" s="9"/>
      <c r="C404" s="7"/>
      <c r="D404" s="17"/>
      <c r="E404" s="218"/>
      <c r="F404" s="218"/>
      <c r="G404" s="218"/>
      <c r="H404" s="218"/>
      <c r="I404" s="218"/>
      <c r="J404" s="218"/>
      <c r="K404" s="218"/>
      <c r="L404" s="218"/>
      <c r="M404" s="277"/>
    </row>
    <row r="405" spans="1:13" x14ac:dyDescent="0.2">
      <c r="A405" s="231"/>
      <c r="B405" s="9"/>
      <c r="C405" s="7" t="s">
        <v>396</v>
      </c>
      <c r="D405" s="8"/>
      <c r="E405" s="218">
        <v>2</v>
      </c>
      <c r="F405" s="218">
        <v>1.05</v>
      </c>
      <c r="G405" s="218"/>
      <c r="H405" s="218"/>
      <c r="I405" s="218">
        <v>1.6</v>
      </c>
      <c r="J405" s="218"/>
      <c r="K405" s="218"/>
      <c r="L405" s="218"/>
      <c r="M405" s="273">
        <f>E405*F405*I405</f>
        <v>3.3600000000000003</v>
      </c>
    </row>
    <row r="406" spans="1:13" x14ac:dyDescent="0.2">
      <c r="A406" s="231"/>
      <c r="B406" s="9"/>
      <c r="C406" s="7"/>
      <c r="D406" s="17"/>
      <c r="E406" s="218"/>
      <c r="F406" s="218"/>
      <c r="G406" s="218"/>
      <c r="H406" s="218"/>
      <c r="I406" s="218"/>
      <c r="J406" s="218"/>
      <c r="K406" s="218"/>
      <c r="L406" s="218"/>
      <c r="M406" s="277"/>
    </row>
    <row r="407" spans="1:13" x14ac:dyDescent="0.2">
      <c r="A407" s="231"/>
      <c r="B407" s="9"/>
      <c r="C407" s="7" t="s">
        <v>171</v>
      </c>
      <c r="D407" s="17"/>
      <c r="E407" s="218"/>
      <c r="F407" s="218"/>
      <c r="G407" s="218"/>
      <c r="H407" s="218"/>
      <c r="I407" s="218"/>
      <c r="J407" s="218"/>
      <c r="K407" s="218"/>
      <c r="L407" s="218"/>
      <c r="M407" s="273"/>
    </row>
    <row r="408" spans="1:13" x14ac:dyDescent="0.2">
      <c r="A408" s="231"/>
      <c r="B408" s="9"/>
      <c r="C408" s="7"/>
      <c r="D408" s="8"/>
      <c r="E408" s="218">
        <v>2</v>
      </c>
      <c r="F408" s="218">
        <v>1.05</v>
      </c>
      <c r="G408" s="218"/>
      <c r="H408" s="218"/>
      <c r="I408" s="218">
        <v>1.6</v>
      </c>
      <c r="J408" s="218"/>
      <c r="K408" s="218"/>
      <c r="L408" s="218"/>
      <c r="M408" s="273">
        <f>E408*F408*I408</f>
        <v>3.3600000000000003</v>
      </c>
    </row>
    <row r="409" spans="1:13" x14ac:dyDescent="0.2">
      <c r="A409" s="231"/>
      <c r="B409" s="9"/>
      <c r="C409" s="7" t="s">
        <v>397</v>
      </c>
      <c r="D409" s="17"/>
      <c r="E409" s="218">
        <v>2</v>
      </c>
      <c r="F409" s="218">
        <v>0.8</v>
      </c>
      <c r="G409" s="218"/>
      <c r="H409" s="218"/>
      <c r="I409" s="218">
        <v>2.1</v>
      </c>
      <c r="J409" s="218"/>
      <c r="K409" s="218"/>
      <c r="L409" s="218"/>
      <c r="M409" s="281">
        <f>E409*F409*I409</f>
        <v>3.3600000000000003</v>
      </c>
    </row>
    <row r="410" spans="1:13" x14ac:dyDescent="0.2">
      <c r="A410" s="231"/>
      <c r="B410" s="9"/>
      <c r="C410" s="7" t="s">
        <v>387</v>
      </c>
      <c r="D410" s="17"/>
      <c r="E410" s="218">
        <v>2</v>
      </c>
      <c r="F410" s="218">
        <v>0.15</v>
      </c>
      <c r="G410" s="218"/>
      <c r="H410" s="218"/>
      <c r="I410" s="218">
        <v>2.8</v>
      </c>
      <c r="J410" s="218"/>
      <c r="K410" s="218"/>
      <c r="L410" s="218"/>
      <c r="M410" s="281">
        <f>E410*F410*I410</f>
        <v>0.84</v>
      </c>
    </row>
    <row r="411" spans="1:13" x14ac:dyDescent="0.2">
      <c r="A411" s="231"/>
      <c r="B411" s="9"/>
      <c r="C411" s="7"/>
      <c r="D411" s="17"/>
      <c r="E411" s="218"/>
      <c r="F411" s="218"/>
      <c r="G411" s="218"/>
      <c r="H411" s="218"/>
      <c r="I411" s="218"/>
      <c r="J411" s="218"/>
      <c r="K411" s="218"/>
      <c r="L411" s="218"/>
      <c r="M411" s="281"/>
    </row>
    <row r="412" spans="1:13" x14ac:dyDescent="0.2">
      <c r="A412" s="231"/>
      <c r="B412" s="9"/>
      <c r="C412" s="7" t="s">
        <v>223</v>
      </c>
      <c r="D412" s="17"/>
      <c r="E412" s="218"/>
      <c r="F412" s="218"/>
      <c r="G412" s="218"/>
      <c r="H412" s="218"/>
      <c r="I412" s="218"/>
      <c r="J412" s="218"/>
      <c r="K412" s="218"/>
      <c r="L412" s="218"/>
      <c r="M412" s="277"/>
    </row>
    <row r="413" spans="1:13" x14ac:dyDescent="0.2">
      <c r="A413" s="231"/>
      <c r="B413" s="9"/>
      <c r="C413" s="7"/>
      <c r="D413" s="8"/>
      <c r="E413" s="218">
        <v>2</v>
      </c>
      <c r="F413" s="218">
        <v>0.75</v>
      </c>
      <c r="G413" s="218"/>
      <c r="H413" s="218"/>
      <c r="I413" s="218">
        <v>1.6</v>
      </c>
      <c r="J413" s="218"/>
      <c r="K413" s="218"/>
      <c r="L413" s="218"/>
      <c r="M413" s="273">
        <f>E413*F413*I413</f>
        <v>2.4000000000000004</v>
      </c>
    </row>
    <row r="414" spans="1:13" x14ac:dyDescent="0.2">
      <c r="A414" s="231"/>
      <c r="B414" s="9"/>
      <c r="C414" s="7"/>
      <c r="D414" s="17"/>
      <c r="E414" s="218"/>
      <c r="F414" s="218"/>
      <c r="G414" s="218"/>
      <c r="H414" s="218"/>
      <c r="I414" s="218"/>
      <c r="J414" s="218"/>
      <c r="K414" s="218"/>
      <c r="L414" s="218"/>
      <c r="M414" s="281"/>
    </row>
    <row r="415" spans="1:13" x14ac:dyDescent="0.2">
      <c r="A415" s="231"/>
      <c r="B415" s="9"/>
      <c r="C415" s="7" t="s">
        <v>398</v>
      </c>
      <c r="D415" s="17"/>
      <c r="E415" s="218">
        <v>2</v>
      </c>
      <c r="F415" s="218">
        <v>1.2</v>
      </c>
      <c r="G415" s="218"/>
      <c r="H415" s="218"/>
      <c r="I415" s="218">
        <v>0.8</v>
      </c>
      <c r="J415" s="218"/>
      <c r="K415" s="218"/>
      <c r="L415" s="218"/>
      <c r="M415" s="281">
        <f>E415*F415*I415</f>
        <v>1.92</v>
      </c>
    </row>
    <row r="416" spans="1:13" x14ac:dyDescent="0.2">
      <c r="A416" s="231"/>
      <c r="B416" s="9"/>
      <c r="C416" s="7"/>
      <c r="D416" s="17"/>
      <c r="E416" s="218"/>
      <c r="F416" s="218"/>
      <c r="G416" s="218"/>
      <c r="H416" s="218"/>
      <c r="I416" s="218"/>
      <c r="J416" s="218"/>
      <c r="K416" s="218"/>
      <c r="L416" s="218"/>
      <c r="M416" s="281"/>
    </row>
    <row r="417" spans="1:13" x14ac:dyDescent="0.2">
      <c r="A417" s="231"/>
      <c r="B417" s="9"/>
      <c r="C417" s="7" t="s">
        <v>399</v>
      </c>
      <c r="D417" s="17"/>
      <c r="E417" s="218"/>
      <c r="F417" s="218"/>
      <c r="G417" s="218"/>
      <c r="H417" s="218"/>
      <c r="I417" s="218"/>
      <c r="J417" s="218"/>
      <c r="K417" s="218"/>
      <c r="L417" s="218"/>
      <c r="M417" s="281"/>
    </row>
    <row r="418" spans="1:13" x14ac:dyDescent="0.2">
      <c r="A418" s="231"/>
      <c r="B418" s="9"/>
      <c r="C418" s="7" t="s">
        <v>401</v>
      </c>
      <c r="D418" s="17"/>
      <c r="E418" s="218"/>
      <c r="F418" s="218"/>
      <c r="G418" s="218">
        <v>9.1999999999999993</v>
      </c>
      <c r="H418" s="218"/>
      <c r="I418" s="218">
        <v>2.8</v>
      </c>
      <c r="J418" s="218"/>
      <c r="K418" s="218"/>
      <c r="L418" s="218"/>
      <c r="M418" s="281">
        <f>G418*I418</f>
        <v>25.759999999999998</v>
      </c>
    </row>
    <row r="419" spans="1:13" x14ac:dyDescent="0.2">
      <c r="A419" s="231"/>
      <c r="B419" s="9"/>
      <c r="C419" s="7"/>
      <c r="D419" s="17"/>
      <c r="E419" s="218"/>
      <c r="F419" s="218"/>
      <c r="G419" s="218"/>
      <c r="H419" s="218"/>
      <c r="I419" s="218"/>
      <c r="J419" s="218"/>
      <c r="K419" s="218"/>
      <c r="L419" s="218"/>
      <c r="M419" s="281"/>
    </row>
    <row r="420" spans="1:13" x14ac:dyDescent="0.2">
      <c r="A420" s="231"/>
      <c r="B420" s="9"/>
      <c r="C420" s="7" t="s">
        <v>400</v>
      </c>
      <c r="D420" s="17"/>
      <c r="E420" s="218"/>
      <c r="F420" s="218"/>
      <c r="G420" s="218"/>
      <c r="H420" s="218"/>
      <c r="I420" s="218"/>
      <c r="J420" s="218"/>
      <c r="K420" s="218"/>
      <c r="L420" s="218"/>
      <c r="M420" s="281"/>
    </row>
    <row r="421" spans="1:13" x14ac:dyDescent="0.2">
      <c r="A421" s="231"/>
      <c r="B421" s="9"/>
      <c r="C421" s="7" t="s">
        <v>401</v>
      </c>
      <c r="D421" s="17"/>
      <c r="E421" s="218"/>
      <c r="F421" s="218"/>
      <c r="G421" s="218">
        <v>9.1999999999999993</v>
      </c>
      <c r="H421" s="218"/>
      <c r="I421" s="218">
        <v>2.8</v>
      </c>
      <c r="J421" s="218"/>
      <c r="K421" s="218"/>
      <c r="L421" s="218"/>
      <c r="M421" s="281">
        <f>G421*I421</f>
        <v>25.759999999999998</v>
      </c>
    </row>
    <row r="422" spans="1:13" x14ac:dyDescent="0.2">
      <c r="A422" s="231"/>
      <c r="B422" s="9"/>
      <c r="C422" s="7"/>
      <c r="D422" s="17"/>
      <c r="E422" s="218"/>
      <c r="F422" s="218"/>
      <c r="G422" s="218"/>
      <c r="H422" s="218"/>
      <c r="I422" s="218"/>
      <c r="J422" s="218"/>
      <c r="K422" s="218"/>
      <c r="L422" s="218"/>
      <c r="M422" s="281"/>
    </row>
    <row r="423" spans="1:13" x14ac:dyDescent="0.2">
      <c r="A423" s="231"/>
      <c r="B423" s="9"/>
      <c r="C423" s="7" t="s">
        <v>209</v>
      </c>
      <c r="D423" s="17"/>
      <c r="E423" s="218"/>
      <c r="F423" s="218"/>
      <c r="G423" s="218"/>
      <c r="H423" s="218"/>
      <c r="I423" s="218"/>
      <c r="J423" s="218"/>
      <c r="K423" s="218"/>
      <c r="L423" s="218"/>
      <c r="M423" s="281"/>
    </row>
    <row r="424" spans="1:13" x14ac:dyDescent="0.2">
      <c r="A424" s="231"/>
      <c r="B424" s="9"/>
      <c r="C424" s="7"/>
      <c r="D424" s="8"/>
      <c r="E424" s="218">
        <v>2</v>
      </c>
      <c r="F424" s="218">
        <v>1.05</v>
      </c>
      <c r="G424" s="218"/>
      <c r="H424" s="218"/>
      <c r="I424" s="218">
        <v>1.6</v>
      </c>
      <c r="J424" s="218"/>
      <c r="K424" s="218"/>
      <c r="L424" s="218"/>
      <c r="M424" s="273">
        <f>E424*F424*I424</f>
        <v>3.3600000000000003</v>
      </c>
    </row>
    <row r="425" spans="1:13" x14ac:dyDescent="0.2">
      <c r="A425" s="231"/>
      <c r="B425" s="9"/>
      <c r="C425" s="7"/>
      <c r="D425" s="17"/>
      <c r="E425" s="218"/>
      <c r="F425" s="218"/>
      <c r="G425" s="218"/>
      <c r="H425" s="218"/>
      <c r="I425" s="218"/>
      <c r="J425" s="218"/>
      <c r="K425" s="218"/>
      <c r="L425" s="218"/>
      <c r="M425" s="277"/>
    </row>
    <row r="426" spans="1:13" x14ac:dyDescent="0.2">
      <c r="A426" s="231"/>
      <c r="B426" s="9"/>
      <c r="C426" s="7"/>
      <c r="D426" s="17"/>
      <c r="E426" s="218"/>
      <c r="F426" s="218"/>
      <c r="G426" s="218"/>
      <c r="H426" s="218"/>
      <c r="I426" s="218"/>
      <c r="J426" s="218"/>
      <c r="K426" s="218"/>
      <c r="L426" s="218"/>
      <c r="M426" s="277"/>
    </row>
    <row r="427" spans="1:13" ht="36" x14ac:dyDescent="0.2">
      <c r="A427" s="231" t="s">
        <v>90</v>
      </c>
      <c r="B427" s="9" t="s">
        <v>350</v>
      </c>
      <c r="C427" s="7" t="s">
        <v>282</v>
      </c>
      <c r="D427" s="17" t="s">
        <v>17</v>
      </c>
      <c r="E427" s="218"/>
      <c r="F427" s="218"/>
      <c r="G427" s="218"/>
      <c r="H427" s="218"/>
      <c r="I427" s="218"/>
      <c r="J427" s="218"/>
      <c r="K427" s="218"/>
      <c r="L427" s="218"/>
      <c r="M427" s="272">
        <f>SUM(M428)</f>
        <v>235.96400000000008</v>
      </c>
    </row>
    <row r="428" spans="1:13" x14ac:dyDescent="0.2">
      <c r="A428" s="231"/>
      <c r="B428" s="9"/>
      <c r="C428" s="7" t="s">
        <v>402</v>
      </c>
      <c r="D428" s="17"/>
      <c r="E428" s="218"/>
      <c r="F428" s="218"/>
      <c r="G428" s="218"/>
      <c r="H428" s="218"/>
      <c r="I428" s="218"/>
      <c r="J428" s="218">
        <f>M359</f>
        <v>235.96400000000008</v>
      </c>
      <c r="K428" s="218"/>
      <c r="L428" s="218"/>
      <c r="M428" s="273">
        <f>J428</f>
        <v>235.96400000000008</v>
      </c>
    </row>
    <row r="429" spans="1:13" x14ac:dyDescent="0.2">
      <c r="A429" s="231"/>
      <c r="B429" s="9"/>
      <c r="C429" s="7"/>
      <c r="D429" s="17"/>
      <c r="E429" s="218"/>
      <c r="F429" s="218"/>
      <c r="G429" s="218"/>
      <c r="H429" s="218"/>
      <c r="I429" s="218"/>
      <c r="J429" s="218"/>
      <c r="K429" s="218"/>
      <c r="L429" s="218"/>
      <c r="M429" s="273"/>
    </row>
    <row r="430" spans="1:13" x14ac:dyDescent="0.2">
      <c r="A430" s="231"/>
      <c r="B430" s="9"/>
      <c r="C430" s="7"/>
      <c r="D430" s="17"/>
      <c r="E430" s="218"/>
      <c r="F430" s="218"/>
      <c r="G430" s="218"/>
      <c r="H430" s="218"/>
      <c r="I430" s="218"/>
      <c r="J430" s="218"/>
      <c r="K430" s="218"/>
      <c r="L430" s="218"/>
      <c r="M430" s="273"/>
    </row>
    <row r="431" spans="1:13" ht="48" x14ac:dyDescent="0.2">
      <c r="A431" s="231" t="s">
        <v>91</v>
      </c>
      <c r="B431" s="9" t="s">
        <v>351</v>
      </c>
      <c r="C431" s="7" t="s">
        <v>283</v>
      </c>
      <c r="D431" s="17" t="s">
        <v>17</v>
      </c>
      <c r="E431" s="218"/>
      <c r="F431" s="218"/>
      <c r="G431" s="218"/>
      <c r="H431" s="218"/>
      <c r="I431" s="218"/>
      <c r="J431" s="218"/>
      <c r="K431" s="218"/>
      <c r="L431" s="218"/>
      <c r="M431" s="272">
        <f>SUM(M434:M498)</f>
        <v>189.30650000000009</v>
      </c>
    </row>
    <row r="432" spans="1:13" x14ac:dyDescent="0.2">
      <c r="A432" s="231"/>
      <c r="B432" s="9"/>
      <c r="C432" s="7"/>
      <c r="D432" s="17"/>
      <c r="E432" s="218"/>
      <c r="F432" s="218"/>
      <c r="G432" s="218"/>
      <c r="H432" s="218"/>
      <c r="I432" s="218"/>
      <c r="J432" s="218"/>
      <c r="K432" s="218"/>
      <c r="L432" s="218"/>
      <c r="M432" s="277"/>
    </row>
    <row r="433" spans="1:13" x14ac:dyDescent="0.2">
      <c r="A433" s="231"/>
      <c r="B433" s="9"/>
      <c r="C433" s="7" t="s">
        <v>150</v>
      </c>
      <c r="D433" s="8"/>
      <c r="E433" s="218"/>
      <c r="F433" s="218"/>
      <c r="G433" s="218"/>
      <c r="H433" s="218"/>
      <c r="I433" s="218"/>
      <c r="J433" s="218"/>
      <c r="K433" s="218"/>
      <c r="L433" s="218"/>
      <c r="M433" s="273"/>
    </row>
    <row r="434" spans="1:13" x14ac:dyDescent="0.2">
      <c r="A434" s="231"/>
      <c r="B434" s="9"/>
      <c r="C434" s="7" t="s">
        <v>385</v>
      </c>
      <c r="D434" s="8"/>
      <c r="E434" s="218"/>
      <c r="F434" s="218"/>
      <c r="G434" s="218">
        <v>10</v>
      </c>
      <c r="H434" s="218"/>
      <c r="I434" s="218">
        <v>2.2999999999999998</v>
      </c>
      <c r="J434" s="218">
        <f>G434*I434</f>
        <v>23</v>
      </c>
      <c r="K434" s="218"/>
      <c r="L434" s="218"/>
      <c r="M434" s="273">
        <f>J434</f>
        <v>23</v>
      </c>
    </row>
    <row r="435" spans="1:13" x14ac:dyDescent="0.2">
      <c r="A435" s="231"/>
      <c r="B435" s="9"/>
      <c r="C435" s="7" t="s">
        <v>383</v>
      </c>
      <c r="D435" s="8"/>
      <c r="E435" s="218"/>
      <c r="F435" s="218"/>
      <c r="G435" s="218"/>
      <c r="H435" s="218"/>
      <c r="I435" s="218"/>
      <c r="J435" s="218">
        <v>2</v>
      </c>
      <c r="K435" s="218"/>
      <c r="L435" s="218"/>
      <c r="M435" s="273">
        <f>J435</f>
        <v>2</v>
      </c>
    </row>
    <row r="436" spans="1:13" x14ac:dyDescent="0.2">
      <c r="A436" s="231"/>
      <c r="B436" s="9"/>
      <c r="C436" s="7"/>
      <c r="D436" s="8"/>
      <c r="E436" s="218"/>
      <c r="F436" s="218"/>
      <c r="G436" s="218"/>
      <c r="H436" s="218"/>
      <c r="I436" s="218"/>
      <c r="J436" s="218"/>
      <c r="K436" s="218"/>
      <c r="L436" s="218"/>
      <c r="M436" s="273"/>
    </row>
    <row r="437" spans="1:13" x14ac:dyDescent="0.2">
      <c r="A437" s="231"/>
      <c r="B437" s="9"/>
      <c r="C437" s="7" t="s">
        <v>151</v>
      </c>
      <c r="D437" s="8"/>
      <c r="E437" s="218"/>
      <c r="F437" s="218"/>
      <c r="G437" s="218"/>
      <c r="H437" s="218"/>
      <c r="I437" s="218"/>
      <c r="J437" s="218"/>
      <c r="K437" s="218"/>
      <c r="L437" s="218"/>
      <c r="M437" s="273"/>
    </row>
    <row r="438" spans="1:13" x14ac:dyDescent="0.2">
      <c r="A438" s="231"/>
      <c r="B438" s="9"/>
      <c r="C438" s="7" t="s">
        <v>158</v>
      </c>
      <c r="D438" s="8"/>
      <c r="E438" s="218">
        <v>2</v>
      </c>
      <c r="F438" s="218">
        <v>3.25</v>
      </c>
      <c r="G438" s="218"/>
      <c r="H438" s="218"/>
      <c r="I438" s="218">
        <v>1.6</v>
      </c>
      <c r="J438" s="218">
        <f>E438*I438*F438</f>
        <v>10.4</v>
      </c>
      <c r="K438" s="218"/>
      <c r="L438" s="218"/>
      <c r="M438" s="273">
        <f>J438</f>
        <v>10.4</v>
      </c>
    </row>
    <row r="439" spans="1:13" x14ac:dyDescent="0.2">
      <c r="A439" s="231"/>
      <c r="B439" s="9" t="s">
        <v>154</v>
      </c>
      <c r="C439" s="7"/>
      <c r="D439" s="8"/>
      <c r="E439" s="218">
        <v>4</v>
      </c>
      <c r="F439" s="218">
        <v>0.75</v>
      </c>
      <c r="G439" s="218"/>
      <c r="H439" s="218"/>
      <c r="I439" s="218">
        <v>1.6</v>
      </c>
      <c r="J439" s="218">
        <f>E439*I439*F439</f>
        <v>4.8000000000000007</v>
      </c>
      <c r="K439" s="218"/>
      <c r="L439" s="218"/>
      <c r="M439" s="273">
        <f>J439</f>
        <v>4.8000000000000007</v>
      </c>
    </row>
    <row r="440" spans="1:13" x14ac:dyDescent="0.2">
      <c r="A440" s="231"/>
      <c r="B440" s="9"/>
      <c r="C440" s="7"/>
      <c r="D440" s="8"/>
      <c r="E440" s="218"/>
      <c r="F440" s="218"/>
      <c r="G440" s="218"/>
      <c r="H440" s="218"/>
      <c r="I440" s="218"/>
      <c r="J440" s="218"/>
      <c r="K440" s="218"/>
      <c r="L440" s="218"/>
      <c r="M440" s="273"/>
    </row>
    <row r="441" spans="1:13" x14ac:dyDescent="0.2">
      <c r="A441" s="231"/>
      <c r="B441" s="9"/>
      <c r="C441" s="7" t="s">
        <v>386</v>
      </c>
      <c r="D441" s="8"/>
      <c r="E441" s="218"/>
      <c r="F441" s="218"/>
      <c r="G441" s="218"/>
      <c r="H441" s="218"/>
      <c r="I441" s="218"/>
      <c r="J441" s="218"/>
      <c r="K441" s="218"/>
      <c r="L441" s="218"/>
      <c r="M441" s="273"/>
    </row>
    <row r="442" spans="1:13" x14ac:dyDescent="0.2">
      <c r="A442" s="231"/>
      <c r="B442" s="9"/>
      <c r="C442" s="7" t="s">
        <v>384</v>
      </c>
      <c r="D442" s="8"/>
      <c r="E442" s="218"/>
      <c r="F442" s="218"/>
      <c r="G442" s="218">
        <v>7.2</v>
      </c>
      <c r="H442" s="218"/>
      <c r="I442" s="218">
        <v>3.2</v>
      </c>
      <c r="J442" s="218">
        <f>G442*I442</f>
        <v>23.040000000000003</v>
      </c>
      <c r="K442" s="218"/>
      <c r="L442" s="218"/>
      <c r="M442" s="273">
        <f>J442</f>
        <v>23.040000000000003</v>
      </c>
    </row>
    <row r="443" spans="1:13" x14ac:dyDescent="0.2">
      <c r="A443" s="231"/>
      <c r="B443" s="9"/>
      <c r="C443" s="7" t="s">
        <v>388</v>
      </c>
      <c r="D443" s="8"/>
      <c r="E443" s="218"/>
      <c r="F443" s="218">
        <v>0.6</v>
      </c>
      <c r="G443" s="218"/>
      <c r="H443" s="218"/>
      <c r="I443" s="218">
        <v>2.1</v>
      </c>
      <c r="J443" s="218">
        <f>F443*I443</f>
        <v>1.26</v>
      </c>
      <c r="K443" s="218"/>
      <c r="L443" s="218"/>
      <c r="M443" s="273">
        <f>J443</f>
        <v>1.26</v>
      </c>
    </row>
    <row r="444" spans="1:13" x14ac:dyDescent="0.2">
      <c r="A444" s="231"/>
      <c r="B444" s="9"/>
      <c r="C444" s="7"/>
      <c r="D444" s="8"/>
      <c r="E444" s="218"/>
      <c r="F444" s="218"/>
      <c r="G444" s="218"/>
      <c r="H444" s="218"/>
      <c r="I444" s="218"/>
      <c r="J444" s="218"/>
      <c r="K444" s="218"/>
      <c r="L444" s="218"/>
      <c r="M444" s="273"/>
    </row>
    <row r="445" spans="1:13" x14ac:dyDescent="0.2">
      <c r="A445" s="231"/>
      <c r="B445" s="9"/>
      <c r="C445" s="7" t="s">
        <v>160</v>
      </c>
      <c r="D445" s="8"/>
      <c r="E445" s="218"/>
      <c r="F445" s="218"/>
      <c r="G445" s="218"/>
      <c r="H445" s="218"/>
      <c r="I445" s="218"/>
      <c r="J445" s="218"/>
      <c r="K445" s="218"/>
      <c r="L445" s="218"/>
      <c r="M445" s="273"/>
    </row>
    <row r="446" spans="1:13" x14ac:dyDescent="0.2">
      <c r="A446" s="231"/>
      <c r="B446" s="9"/>
      <c r="C446" s="7" t="s">
        <v>387</v>
      </c>
      <c r="D446" s="8"/>
      <c r="E446" s="218"/>
      <c r="F446" s="218">
        <v>0.6</v>
      </c>
      <c r="G446" s="218"/>
      <c r="H446" s="218"/>
      <c r="I446" s="218">
        <v>2.4</v>
      </c>
      <c r="J446" s="218">
        <f>I446*F446</f>
        <v>1.44</v>
      </c>
      <c r="K446" s="218"/>
      <c r="L446" s="218"/>
      <c r="M446" s="273">
        <f>J446</f>
        <v>1.44</v>
      </c>
    </row>
    <row r="447" spans="1:13" x14ac:dyDescent="0.2">
      <c r="A447" s="231"/>
      <c r="B447" s="9"/>
      <c r="C447" s="7" t="s">
        <v>388</v>
      </c>
      <c r="D447" s="8"/>
      <c r="E447" s="218">
        <v>2</v>
      </c>
      <c r="F447" s="218">
        <v>0.8</v>
      </c>
      <c r="G447" s="218"/>
      <c r="H447" s="218"/>
      <c r="I447" s="218">
        <v>2.1</v>
      </c>
      <c r="J447" s="218">
        <f>E447*I447*F447</f>
        <v>3.3600000000000003</v>
      </c>
      <c r="K447" s="218"/>
      <c r="L447" s="218"/>
      <c r="M447" s="273">
        <f>J447</f>
        <v>3.3600000000000003</v>
      </c>
    </row>
    <row r="448" spans="1:13" x14ac:dyDescent="0.2">
      <c r="A448" s="231"/>
      <c r="B448" s="9"/>
      <c r="C448" s="7"/>
      <c r="D448" s="8"/>
      <c r="E448" s="218"/>
      <c r="F448" s="218"/>
      <c r="G448" s="218"/>
      <c r="H448" s="218"/>
      <c r="I448" s="218"/>
      <c r="J448" s="218"/>
      <c r="K448" s="218"/>
      <c r="L448" s="218"/>
      <c r="M448" s="273"/>
    </row>
    <row r="449" spans="1:13" x14ac:dyDescent="0.2">
      <c r="A449" s="231"/>
      <c r="B449" s="9"/>
      <c r="C449" s="7" t="s">
        <v>159</v>
      </c>
      <c r="D449" s="8"/>
      <c r="E449" s="218"/>
      <c r="F449" s="218"/>
      <c r="G449" s="218"/>
      <c r="H449" s="218"/>
      <c r="I449" s="218"/>
      <c r="J449" s="218"/>
      <c r="K449" s="218"/>
      <c r="L449" s="218"/>
      <c r="M449" s="273"/>
    </row>
    <row r="450" spans="1:13" x14ac:dyDescent="0.2">
      <c r="A450" s="231"/>
      <c r="B450" s="9"/>
      <c r="C450" s="7"/>
      <c r="D450" s="8"/>
      <c r="E450" s="218">
        <v>4</v>
      </c>
      <c r="F450" s="218">
        <v>1.05</v>
      </c>
      <c r="G450" s="218"/>
      <c r="H450" s="218"/>
      <c r="I450" s="218">
        <v>1.6</v>
      </c>
      <c r="J450" s="218">
        <f>E450*I450*F450</f>
        <v>6.7200000000000006</v>
      </c>
      <c r="K450" s="218"/>
      <c r="L450" s="218"/>
      <c r="M450" s="273">
        <f>J450</f>
        <v>6.7200000000000006</v>
      </c>
    </row>
    <row r="451" spans="1:13" x14ac:dyDescent="0.2">
      <c r="A451" s="231"/>
      <c r="B451" s="9"/>
      <c r="C451" s="7"/>
      <c r="D451" s="8"/>
      <c r="E451" s="218"/>
      <c r="F451" s="218"/>
      <c r="G451" s="218"/>
      <c r="H451" s="218"/>
      <c r="I451" s="218"/>
      <c r="J451" s="218"/>
      <c r="K451" s="218"/>
      <c r="L451" s="218"/>
      <c r="M451" s="273"/>
    </row>
    <row r="452" spans="1:13" x14ac:dyDescent="0.2">
      <c r="A452" s="231"/>
      <c r="B452" s="9"/>
      <c r="C452" s="7" t="s">
        <v>389</v>
      </c>
      <c r="D452" s="8"/>
      <c r="E452" s="218"/>
      <c r="F452" s="218"/>
      <c r="G452" s="218"/>
      <c r="H452" s="218"/>
      <c r="I452" s="218"/>
      <c r="J452" s="218"/>
      <c r="K452" s="218"/>
      <c r="L452" s="218"/>
      <c r="M452" s="273"/>
    </row>
    <row r="453" spans="1:13" x14ac:dyDescent="0.2">
      <c r="A453" s="231"/>
      <c r="B453" s="9"/>
      <c r="C453" s="7"/>
      <c r="D453" s="8"/>
      <c r="E453" s="218">
        <v>2</v>
      </c>
      <c r="F453" s="218">
        <v>0.75</v>
      </c>
      <c r="G453" s="218"/>
      <c r="H453" s="218"/>
      <c r="I453" s="218">
        <v>1.6</v>
      </c>
      <c r="J453" s="218">
        <f>E453*I453*F453</f>
        <v>2.4000000000000004</v>
      </c>
      <c r="K453" s="218"/>
      <c r="L453" s="218"/>
      <c r="M453" s="273">
        <f>J453</f>
        <v>2.4000000000000004</v>
      </c>
    </row>
    <row r="454" spans="1:13" x14ac:dyDescent="0.2">
      <c r="A454" s="231"/>
      <c r="B454" s="9"/>
      <c r="C454" s="7"/>
      <c r="D454" s="8"/>
      <c r="E454" s="218"/>
      <c r="F454" s="218"/>
      <c r="G454" s="218"/>
      <c r="H454" s="218"/>
      <c r="I454" s="218"/>
      <c r="J454" s="218"/>
      <c r="K454" s="218"/>
      <c r="L454" s="218"/>
      <c r="M454" s="273"/>
    </row>
    <row r="455" spans="1:13" x14ac:dyDescent="0.2">
      <c r="A455" s="231"/>
      <c r="B455" s="9"/>
      <c r="C455" s="7" t="s">
        <v>390</v>
      </c>
      <c r="D455" s="8"/>
      <c r="E455" s="218"/>
      <c r="F455" s="218"/>
      <c r="G455" s="218"/>
      <c r="H455" s="218"/>
      <c r="I455" s="218"/>
      <c r="J455" s="218"/>
      <c r="K455" s="218"/>
      <c r="L455" s="218"/>
      <c r="M455" s="273"/>
    </row>
    <row r="456" spans="1:13" ht="24" x14ac:dyDescent="0.2">
      <c r="A456" s="231"/>
      <c r="B456" s="9"/>
      <c r="C456" s="7" t="s">
        <v>391</v>
      </c>
      <c r="D456" s="8"/>
      <c r="E456" s="218"/>
      <c r="F456" s="218"/>
      <c r="G456" s="218">
        <v>7.15</v>
      </c>
      <c r="H456" s="218"/>
      <c r="I456" s="218">
        <v>0.95</v>
      </c>
      <c r="J456" s="218">
        <f>G456*I456</f>
        <v>6.7925000000000004</v>
      </c>
      <c r="K456" s="218"/>
      <c r="L456" s="218"/>
      <c r="M456" s="273">
        <f>J456</f>
        <v>6.7925000000000004</v>
      </c>
    </row>
    <row r="457" spans="1:13" ht="24" x14ac:dyDescent="0.2">
      <c r="A457" s="231"/>
      <c r="B457" s="9"/>
      <c r="C457" s="7" t="s">
        <v>392</v>
      </c>
      <c r="D457" s="8"/>
      <c r="E457" s="218"/>
      <c r="F457" s="218"/>
      <c r="G457" s="218">
        <v>6.3</v>
      </c>
      <c r="H457" s="218"/>
      <c r="I457" s="218">
        <v>0.95</v>
      </c>
      <c r="J457" s="218">
        <f>G457*I457</f>
        <v>5.9849999999999994</v>
      </c>
      <c r="K457" s="218"/>
      <c r="L457" s="218"/>
      <c r="M457" s="273">
        <f>J457</f>
        <v>5.9849999999999994</v>
      </c>
    </row>
    <row r="458" spans="1:13" ht="24" x14ac:dyDescent="0.2">
      <c r="A458" s="231"/>
      <c r="B458" s="9"/>
      <c r="C458" s="7" t="s">
        <v>393</v>
      </c>
      <c r="D458" s="8"/>
      <c r="E458" s="218"/>
      <c r="F458" s="218"/>
      <c r="G458" s="218">
        <v>7.01</v>
      </c>
      <c r="H458" s="218"/>
      <c r="I458" s="218">
        <v>2.4</v>
      </c>
      <c r="J458" s="218">
        <f>G458*I458</f>
        <v>16.823999999999998</v>
      </c>
      <c r="K458" s="218"/>
      <c r="L458" s="218"/>
      <c r="M458" s="273">
        <f>J458</f>
        <v>16.823999999999998</v>
      </c>
    </row>
    <row r="459" spans="1:13" x14ac:dyDescent="0.2">
      <c r="A459" s="236"/>
      <c r="B459" s="344"/>
      <c r="C459" s="345"/>
      <c r="D459" s="346"/>
      <c r="E459" s="347"/>
      <c r="F459" s="347"/>
      <c r="G459" s="347"/>
      <c r="H459" s="347"/>
      <c r="I459" s="347"/>
      <c r="J459" s="347"/>
      <c r="K459" s="347"/>
      <c r="L459" s="347"/>
      <c r="M459" s="342"/>
    </row>
    <row r="460" spans="1:13" x14ac:dyDescent="0.2">
      <c r="A460" s="231"/>
      <c r="B460" s="9"/>
      <c r="C460" s="7" t="s">
        <v>179</v>
      </c>
      <c r="D460" s="8"/>
      <c r="E460" s="218"/>
      <c r="F460" s="218"/>
      <c r="G460" s="218"/>
      <c r="H460" s="218"/>
      <c r="I460" s="218"/>
      <c r="J460" s="218"/>
      <c r="K460" s="218"/>
      <c r="L460" s="218"/>
      <c r="M460" s="273"/>
    </row>
    <row r="461" spans="1:13" x14ac:dyDescent="0.2">
      <c r="A461" s="231"/>
      <c r="B461" s="9"/>
      <c r="C461" s="7" t="s">
        <v>164</v>
      </c>
      <c r="D461" s="8"/>
      <c r="E461" s="218">
        <v>2</v>
      </c>
      <c r="F461" s="218">
        <v>3.25</v>
      </c>
      <c r="G461" s="218"/>
      <c r="H461" s="218"/>
      <c r="I461" s="218">
        <v>1.3</v>
      </c>
      <c r="J461" s="218">
        <f>E461*I461*F461</f>
        <v>8.4500000000000011</v>
      </c>
      <c r="K461" s="218"/>
      <c r="L461" s="218"/>
      <c r="M461" s="273">
        <f>J461</f>
        <v>8.4500000000000011</v>
      </c>
    </row>
    <row r="462" spans="1:13" x14ac:dyDescent="0.2">
      <c r="A462" s="231"/>
      <c r="B462" s="9"/>
      <c r="C462" s="7"/>
      <c r="D462" s="8"/>
      <c r="E462" s="218">
        <v>4</v>
      </c>
      <c r="F462" s="218">
        <v>0.75</v>
      </c>
      <c r="G462" s="218"/>
      <c r="H462" s="218"/>
      <c r="I462" s="218">
        <v>1.3</v>
      </c>
      <c r="J462" s="218">
        <f>E462*I462*F462</f>
        <v>3.9000000000000004</v>
      </c>
      <c r="K462" s="218"/>
      <c r="L462" s="218"/>
      <c r="M462" s="273">
        <f>J462</f>
        <v>3.9000000000000004</v>
      </c>
    </row>
    <row r="463" spans="1:13" x14ac:dyDescent="0.2">
      <c r="A463" s="231"/>
      <c r="B463" s="9"/>
      <c r="C463" s="7"/>
      <c r="D463" s="8"/>
      <c r="E463" s="218"/>
      <c r="F463" s="218"/>
      <c r="G463" s="218"/>
      <c r="H463" s="218"/>
      <c r="I463" s="218"/>
      <c r="J463" s="218"/>
      <c r="K463" s="218"/>
      <c r="L463" s="218"/>
      <c r="M463" s="273"/>
    </row>
    <row r="464" spans="1:13" x14ac:dyDescent="0.2">
      <c r="A464" s="231"/>
      <c r="B464" s="9"/>
      <c r="C464" s="7" t="s">
        <v>163</v>
      </c>
      <c r="D464" s="8"/>
      <c r="E464" s="218"/>
      <c r="F464" s="218"/>
      <c r="G464" s="218"/>
      <c r="H464" s="218"/>
      <c r="I464" s="218"/>
      <c r="J464" s="218"/>
      <c r="K464" s="218"/>
      <c r="L464" s="218"/>
      <c r="M464" s="273"/>
    </row>
    <row r="465" spans="1:13" x14ac:dyDescent="0.2">
      <c r="A465" s="231"/>
      <c r="B465" s="9"/>
      <c r="C465" s="7"/>
      <c r="D465" s="8"/>
      <c r="E465" s="218">
        <v>4</v>
      </c>
      <c r="F465" s="218">
        <v>1.05</v>
      </c>
      <c r="G465" s="218"/>
      <c r="H465" s="218"/>
      <c r="I465" s="218">
        <v>1.3</v>
      </c>
      <c r="J465" s="218">
        <f>E465*I465*F465</f>
        <v>5.4600000000000009</v>
      </c>
      <c r="K465" s="218"/>
      <c r="L465" s="218"/>
      <c r="M465" s="273">
        <f>J465</f>
        <v>5.4600000000000009</v>
      </c>
    </row>
    <row r="466" spans="1:13" x14ac:dyDescent="0.2">
      <c r="A466" s="231"/>
      <c r="B466" s="9"/>
      <c r="C466" s="7"/>
      <c r="D466" s="8"/>
      <c r="E466" s="218"/>
      <c r="F466" s="218"/>
      <c r="G466" s="218"/>
      <c r="H466" s="218"/>
      <c r="I466" s="218"/>
      <c r="J466" s="218"/>
      <c r="K466" s="218"/>
      <c r="L466" s="218"/>
      <c r="M466" s="273"/>
    </row>
    <row r="467" spans="1:13" x14ac:dyDescent="0.2">
      <c r="A467" s="231"/>
      <c r="B467" s="9"/>
      <c r="C467" s="7" t="s">
        <v>203</v>
      </c>
      <c r="D467" s="8"/>
      <c r="E467" s="218"/>
      <c r="F467" s="218"/>
      <c r="G467" s="218"/>
      <c r="H467" s="218"/>
      <c r="I467" s="218"/>
      <c r="J467" s="218"/>
      <c r="K467" s="218"/>
      <c r="L467" s="218"/>
      <c r="M467" s="273"/>
    </row>
    <row r="468" spans="1:13" x14ac:dyDescent="0.2">
      <c r="A468" s="231"/>
      <c r="B468" s="9"/>
      <c r="C468" s="7"/>
      <c r="D468" s="8"/>
      <c r="E468" s="218">
        <v>2</v>
      </c>
      <c r="F468" s="218">
        <v>0.75</v>
      </c>
      <c r="G468" s="218"/>
      <c r="H468" s="218"/>
      <c r="I468" s="218">
        <v>1.3</v>
      </c>
      <c r="J468" s="218">
        <f>E468*I468*F468</f>
        <v>1.9500000000000002</v>
      </c>
      <c r="K468" s="218"/>
      <c r="L468" s="218"/>
      <c r="M468" s="273">
        <f>J468</f>
        <v>1.9500000000000002</v>
      </c>
    </row>
    <row r="469" spans="1:13" x14ac:dyDescent="0.2">
      <c r="A469" s="231"/>
      <c r="B469" s="9"/>
      <c r="C469" s="7"/>
      <c r="D469" s="8"/>
      <c r="E469" s="218"/>
      <c r="F469" s="218"/>
      <c r="G469" s="218"/>
      <c r="H469" s="218"/>
      <c r="I469" s="218"/>
      <c r="J469" s="218"/>
      <c r="K469" s="218"/>
      <c r="L469" s="218"/>
      <c r="M469" s="273"/>
    </row>
    <row r="470" spans="1:13" x14ac:dyDescent="0.2">
      <c r="A470" s="231"/>
      <c r="B470" s="9"/>
      <c r="C470" s="7" t="s">
        <v>152</v>
      </c>
      <c r="D470" s="8"/>
      <c r="E470" s="218"/>
      <c r="F470" s="218"/>
      <c r="G470" s="218"/>
      <c r="H470" s="218"/>
      <c r="I470" s="218"/>
      <c r="J470" s="218"/>
      <c r="K470" s="218"/>
      <c r="L470" s="218"/>
      <c r="M470" s="273"/>
    </row>
    <row r="471" spans="1:13" x14ac:dyDescent="0.2">
      <c r="A471" s="231"/>
      <c r="B471" s="9"/>
      <c r="C471" s="7" t="s">
        <v>218</v>
      </c>
      <c r="D471" s="8"/>
      <c r="E471" s="218">
        <v>2</v>
      </c>
      <c r="F471" s="218">
        <v>3.25</v>
      </c>
      <c r="G471" s="218"/>
      <c r="H471" s="218"/>
      <c r="I471" s="218">
        <v>1.6</v>
      </c>
      <c r="J471" s="218">
        <f>E471*I471*F471</f>
        <v>10.4</v>
      </c>
      <c r="K471" s="218"/>
      <c r="L471" s="218"/>
      <c r="M471" s="273">
        <f>J471</f>
        <v>10.4</v>
      </c>
    </row>
    <row r="472" spans="1:13" x14ac:dyDescent="0.2">
      <c r="A472" s="231"/>
      <c r="B472" s="9"/>
      <c r="C472" s="7"/>
      <c r="D472" s="8"/>
      <c r="E472" s="218">
        <v>4</v>
      </c>
      <c r="F472" s="218">
        <v>0.75</v>
      </c>
      <c r="G472" s="218"/>
      <c r="H472" s="218"/>
      <c r="I472" s="218">
        <v>1.6</v>
      </c>
      <c r="J472" s="218">
        <f>E472*I472*F472</f>
        <v>4.8000000000000007</v>
      </c>
      <c r="K472" s="218"/>
      <c r="L472" s="218"/>
      <c r="M472" s="273">
        <f>J472</f>
        <v>4.8000000000000007</v>
      </c>
    </row>
    <row r="473" spans="1:13" x14ac:dyDescent="0.2">
      <c r="A473" s="231"/>
      <c r="B473" s="9"/>
      <c r="C473" s="7"/>
      <c r="D473" s="17"/>
      <c r="E473" s="218"/>
      <c r="F473" s="218"/>
      <c r="G473" s="218"/>
      <c r="H473" s="218"/>
      <c r="I473" s="218"/>
      <c r="J473" s="218"/>
      <c r="K473" s="218"/>
      <c r="L473" s="218"/>
      <c r="M473" s="273"/>
    </row>
    <row r="474" spans="1:13" x14ac:dyDescent="0.2">
      <c r="A474" s="231"/>
      <c r="B474" s="9"/>
      <c r="C474" s="7" t="s">
        <v>394</v>
      </c>
      <c r="D474" s="17"/>
      <c r="E474" s="218"/>
      <c r="F474" s="218"/>
      <c r="G474" s="218"/>
      <c r="H474" s="218"/>
      <c r="I474" s="218"/>
      <c r="J474" s="218"/>
      <c r="K474" s="218"/>
      <c r="L474" s="218"/>
      <c r="M474" s="273"/>
    </row>
    <row r="475" spans="1:13" x14ac:dyDescent="0.2">
      <c r="A475" s="231"/>
      <c r="B475" s="9"/>
      <c r="C475" s="7" t="s">
        <v>395</v>
      </c>
      <c r="D475" s="17"/>
      <c r="E475" s="218">
        <v>2</v>
      </c>
      <c r="F475" s="218">
        <v>0.15</v>
      </c>
      <c r="G475" s="218"/>
      <c r="H475" s="218"/>
      <c r="I475" s="218">
        <v>1.25</v>
      </c>
      <c r="J475" s="218">
        <f>E475*I475*F475</f>
        <v>0.375</v>
      </c>
      <c r="K475" s="218"/>
      <c r="L475" s="218"/>
      <c r="M475" s="273">
        <f>J475</f>
        <v>0.375</v>
      </c>
    </row>
    <row r="476" spans="1:13" x14ac:dyDescent="0.2">
      <c r="A476" s="231"/>
      <c r="B476" s="9"/>
      <c r="C476" s="7" t="s">
        <v>403</v>
      </c>
      <c r="D476" s="17"/>
      <c r="E476" s="218"/>
      <c r="F476" s="218">
        <v>0.6</v>
      </c>
      <c r="G476" s="218"/>
      <c r="H476" s="218"/>
      <c r="I476" s="218">
        <v>0.55000000000000004</v>
      </c>
      <c r="J476" s="218">
        <f>F476*I476</f>
        <v>0.33</v>
      </c>
      <c r="K476" s="218"/>
      <c r="L476" s="218"/>
      <c r="M476" s="273">
        <f>J476</f>
        <v>0.33</v>
      </c>
    </row>
    <row r="477" spans="1:13" x14ac:dyDescent="0.2">
      <c r="A477" s="231"/>
      <c r="B477" s="9"/>
      <c r="C477" s="7" t="s">
        <v>404</v>
      </c>
      <c r="D477" s="17"/>
      <c r="E477" s="218"/>
      <c r="F477" s="218">
        <v>0.6</v>
      </c>
      <c r="G477" s="218"/>
      <c r="H477" s="218"/>
      <c r="I477" s="218">
        <v>2.1</v>
      </c>
      <c r="J477" s="218">
        <f>F477*I477</f>
        <v>1.26</v>
      </c>
      <c r="K477" s="218"/>
      <c r="L477" s="218"/>
      <c r="M477" s="273">
        <f>J477</f>
        <v>1.26</v>
      </c>
    </row>
    <row r="478" spans="1:13" x14ac:dyDescent="0.2">
      <c r="A478" s="231"/>
      <c r="B478" s="9"/>
      <c r="C478" s="7"/>
      <c r="D478" s="17"/>
      <c r="E478" s="218"/>
      <c r="F478" s="218"/>
      <c r="G478" s="218"/>
      <c r="H478" s="218"/>
      <c r="I478" s="218"/>
      <c r="J478" s="218"/>
      <c r="K478" s="218"/>
      <c r="L478" s="218"/>
      <c r="M478" s="273"/>
    </row>
    <row r="479" spans="1:13" x14ac:dyDescent="0.2">
      <c r="A479" s="231"/>
      <c r="B479" s="9"/>
      <c r="C479" s="7" t="s">
        <v>396</v>
      </c>
      <c r="D479" s="8"/>
      <c r="E479" s="218">
        <v>2</v>
      </c>
      <c r="F479" s="218">
        <v>1.05</v>
      </c>
      <c r="G479" s="218"/>
      <c r="H479" s="218"/>
      <c r="I479" s="218">
        <v>1.6</v>
      </c>
      <c r="J479" s="218">
        <f>E479*I479*F479</f>
        <v>3.3600000000000003</v>
      </c>
      <c r="K479" s="218"/>
      <c r="L479" s="218"/>
      <c r="M479" s="273">
        <f>J479</f>
        <v>3.3600000000000003</v>
      </c>
    </row>
    <row r="480" spans="1:13" x14ac:dyDescent="0.2">
      <c r="A480" s="231"/>
      <c r="B480" s="9"/>
      <c r="C480" s="7"/>
      <c r="D480" s="17"/>
      <c r="E480" s="218"/>
      <c r="F480" s="218"/>
      <c r="G480" s="218"/>
      <c r="H480" s="218"/>
      <c r="I480" s="218"/>
      <c r="J480" s="218"/>
      <c r="K480" s="218"/>
      <c r="L480" s="218"/>
      <c r="M480" s="273"/>
    </row>
    <row r="481" spans="1:13" x14ac:dyDescent="0.2">
      <c r="A481" s="231"/>
      <c r="B481" s="9"/>
      <c r="C481" s="7" t="s">
        <v>171</v>
      </c>
      <c r="D481" s="17"/>
      <c r="E481" s="218"/>
      <c r="F481" s="218"/>
      <c r="G481" s="218"/>
      <c r="H481" s="218"/>
      <c r="I481" s="218"/>
      <c r="J481" s="218"/>
      <c r="K481" s="218"/>
      <c r="L481" s="218"/>
      <c r="M481" s="273"/>
    </row>
    <row r="482" spans="1:13" x14ac:dyDescent="0.2">
      <c r="A482" s="231"/>
      <c r="B482" s="9"/>
      <c r="C482" s="7"/>
      <c r="D482" s="8"/>
      <c r="E482" s="218">
        <v>2</v>
      </c>
      <c r="F482" s="218">
        <v>1.05</v>
      </c>
      <c r="G482" s="218"/>
      <c r="H482" s="218"/>
      <c r="I482" s="218">
        <v>1.6</v>
      </c>
      <c r="J482" s="218">
        <f>E482*I482*F482</f>
        <v>3.3600000000000003</v>
      </c>
      <c r="K482" s="218"/>
      <c r="L482" s="218"/>
      <c r="M482" s="273">
        <f>J482</f>
        <v>3.3600000000000003</v>
      </c>
    </row>
    <row r="483" spans="1:13" x14ac:dyDescent="0.2">
      <c r="A483" s="231"/>
      <c r="B483" s="9"/>
      <c r="C483" s="7" t="s">
        <v>397</v>
      </c>
      <c r="D483" s="17"/>
      <c r="E483" s="218">
        <v>2</v>
      </c>
      <c r="F483" s="218">
        <v>0.8</v>
      </c>
      <c r="G483" s="218"/>
      <c r="H483" s="218"/>
      <c r="I483" s="218">
        <v>2.1</v>
      </c>
      <c r="J483" s="218">
        <f>E483*I483*F483</f>
        <v>3.3600000000000003</v>
      </c>
      <c r="K483" s="218"/>
      <c r="L483" s="218"/>
      <c r="M483" s="273">
        <f>J483</f>
        <v>3.3600000000000003</v>
      </c>
    </row>
    <row r="484" spans="1:13" x14ac:dyDescent="0.2">
      <c r="A484" s="231"/>
      <c r="B484" s="9"/>
      <c r="C484" s="7" t="s">
        <v>387</v>
      </c>
      <c r="D484" s="17"/>
      <c r="E484" s="218">
        <v>2</v>
      </c>
      <c r="F484" s="218">
        <v>0.15</v>
      </c>
      <c r="G484" s="218"/>
      <c r="H484" s="218"/>
      <c r="I484" s="218">
        <v>2.8</v>
      </c>
      <c r="J484" s="218">
        <f>E484*I484*F484</f>
        <v>0.84</v>
      </c>
      <c r="K484" s="218"/>
      <c r="L484" s="218"/>
      <c r="M484" s="273">
        <f>J484</f>
        <v>0.84</v>
      </c>
    </row>
    <row r="485" spans="1:13" x14ac:dyDescent="0.2">
      <c r="A485" s="231"/>
      <c r="B485" s="9"/>
      <c r="C485" s="7"/>
      <c r="D485" s="17"/>
      <c r="E485" s="218"/>
      <c r="F485" s="218"/>
      <c r="G485" s="218"/>
      <c r="H485" s="218"/>
      <c r="I485" s="218"/>
      <c r="J485" s="218"/>
      <c r="K485" s="218"/>
      <c r="L485" s="218"/>
      <c r="M485" s="273"/>
    </row>
    <row r="486" spans="1:13" x14ac:dyDescent="0.2">
      <c r="A486" s="231"/>
      <c r="B486" s="9"/>
      <c r="C486" s="7" t="s">
        <v>223</v>
      </c>
      <c r="D486" s="17"/>
      <c r="E486" s="218"/>
      <c r="F486" s="218"/>
      <c r="G486" s="218"/>
      <c r="H486" s="218"/>
      <c r="I486" s="218"/>
      <c r="J486" s="218"/>
      <c r="K486" s="218"/>
      <c r="L486" s="218"/>
      <c r="M486" s="273"/>
    </row>
    <row r="487" spans="1:13" x14ac:dyDescent="0.2">
      <c r="A487" s="231"/>
      <c r="B487" s="9"/>
      <c r="C487" s="7"/>
      <c r="D487" s="8"/>
      <c r="E487" s="218">
        <v>2</v>
      </c>
      <c r="F487" s="218">
        <v>0.75</v>
      </c>
      <c r="G487" s="218"/>
      <c r="H487" s="218"/>
      <c r="I487" s="218">
        <v>1.6</v>
      </c>
      <c r="J487" s="218">
        <f>E487*I487*F487</f>
        <v>2.4000000000000004</v>
      </c>
      <c r="K487" s="218"/>
      <c r="L487" s="218"/>
      <c r="M487" s="273">
        <f>J487</f>
        <v>2.4000000000000004</v>
      </c>
    </row>
    <row r="488" spans="1:13" x14ac:dyDescent="0.2">
      <c r="A488" s="231"/>
      <c r="B488" s="9"/>
      <c r="C488" s="7"/>
      <c r="D488" s="17"/>
      <c r="E488" s="218"/>
      <c r="F488" s="218"/>
      <c r="G488" s="218"/>
      <c r="H488" s="218"/>
      <c r="I488" s="218"/>
      <c r="J488" s="218"/>
      <c r="K488" s="218"/>
      <c r="L488" s="218"/>
      <c r="M488" s="273"/>
    </row>
    <row r="489" spans="1:13" x14ac:dyDescent="0.2">
      <c r="A489" s="231"/>
      <c r="B489" s="9"/>
      <c r="C489" s="7" t="s">
        <v>398</v>
      </c>
      <c r="D489" s="17"/>
      <c r="E489" s="218">
        <v>2</v>
      </c>
      <c r="F489" s="218">
        <v>1.2</v>
      </c>
      <c r="G489" s="218"/>
      <c r="H489" s="218"/>
      <c r="I489" s="218">
        <v>0.8</v>
      </c>
      <c r="J489" s="218">
        <f>E489*I489*F489</f>
        <v>1.92</v>
      </c>
      <c r="K489" s="218"/>
      <c r="L489" s="218"/>
      <c r="M489" s="273">
        <f>J489</f>
        <v>1.92</v>
      </c>
    </row>
    <row r="490" spans="1:13" x14ac:dyDescent="0.2">
      <c r="A490" s="231"/>
      <c r="B490" s="9"/>
      <c r="C490" s="7"/>
      <c r="D490" s="17"/>
      <c r="E490" s="218"/>
      <c r="F490" s="218"/>
      <c r="G490" s="218"/>
      <c r="H490" s="218"/>
      <c r="I490" s="218"/>
      <c r="J490" s="218"/>
      <c r="K490" s="218"/>
      <c r="L490" s="218"/>
      <c r="M490" s="273"/>
    </row>
    <row r="491" spans="1:13" x14ac:dyDescent="0.2">
      <c r="A491" s="231"/>
      <c r="B491" s="9"/>
      <c r="C491" s="7" t="s">
        <v>399</v>
      </c>
      <c r="D491" s="17"/>
      <c r="E491" s="218"/>
      <c r="F491" s="218"/>
      <c r="G491" s="218"/>
      <c r="H491" s="218"/>
      <c r="I491" s="218"/>
      <c r="J491" s="218"/>
      <c r="K491" s="218"/>
      <c r="L491" s="218"/>
      <c r="M491" s="273"/>
    </row>
    <row r="492" spans="1:13" x14ac:dyDescent="0.2">
      <c r="A492" s="231"/>
      <c r="B492" s="9"/>
      <c r="C492" s="7" t="s">
        <v>401</v>
      </c>
      <c r="D492" s="17"/>
      <c r="E492" s="218"/>
      <c r="F492" s="218"/>
      <c r="G492" s="218">
        <v>9.1999999999999993</v>
      </c>
      <c r="H492" s="218"/>
      <c r="I492" s="218">
        <v>1.4</v>
      </c>
      <c r="J492" s="218">
        <f>I492*G492</f>
        <v>12.879999999999999</v>
      </c>
      <c r="K492" s="218"/>
      <c r="L492" s="218"/>
      <c r="M492" s="273">
        <f>J492</f>
        <v>12.879999999999999</v>
      </c>
    </row>
    <row r="493" spans="1:13" x14ac:dyDescent="0.2">
      <c r="A493" s="231"/>
      <c r="B493" s="9"/>
      <c r="C493" s="7"/>
      <c r="D493" s="17"/>
      <c r="E493" s="218"/>
      <c r="F493" s="218"/>
      <c r="G493" s="218"/>
      <c r="H493" s="218"/>
      <c r="I493" s="218"/>
      <c r="J493" s="218"/>
      <c r="K493" s="218"/>
      <c r="L493" s="218"/>
      <c r="M493" s="273"/>
    </row>
    <row r="494" spans="1:13" x14ac:dyDescent="0.2">
      <c r="A494" s="231"/>
      <c r="B494" s="9"/>
      <c r="C494" s="7" t="s">
        <v>400</v>
      </c>
      <c r="D494" s="17"/>
      <c r="E494" s="218"/>
      <c r="F494" s="218"/>
      <c r="G494" s="218"/>
      <c r="H494" s="218"/>
      <c r="I494" s="218"/>
      <c r="J494" s="218"/>
      <c r="K494" s="218"/>
      <c r="L494" s="218"/>
      <c r="M494" s="273"/>
    </row>
    <row r="495" spans="1:13" x14ac:dyDescent="0.2">
      <c r="A495" s="231"/>
      <c r="B495" s="9"/>
      <c r="C495" s="7" t="s">
        <v>401</v>
      </c>
      <c r="D495" s="17"/>
      <c r="E495" s="218"/>
      <c r="F495" s="218"/>
      <c r="G495" s="218">
        <v>9.1999999999999993</v>
      </c>
      <c r="H495" s="218"/>
      <c r="I495" s="218">
        <v>1.4</v>
      </c>
      <c r="J495" s="218">
        <f>I495*G495</f>
        <v>12.879999999999999</v>
      </c>
      <c r="K495" s="218"/>
      <c r="L495" s="218"/>
      <c r="M495" s="273">
        <f>J495</f>
        <v>12.879999999999999</v>
      </c>
    </row>
    <row r="496" spans="1:13" x14ac:dyDescent="0.2">
      <c r="A496" s="231"/>
      <c r="B496" s="9"/>
      <c r="C496" s="7"/>
      <c r="D496" s="17"/>
      <c r="E496" s="218"/>
      <c r="F496" s="218"/>
      <c r="G496" s="218"/>
      <c r="H496" s="218"/>
      <c r="I496" s="218"/>
      <c r="J496" s="218"/>
      <c r="K496" s="218"/>
      <c r="L496" s="218"/>
      <c r="M496" s="273"/>
    </row>
    <row r="497" spans="1:13" x14ac:dyDescent="0.2">
      <c r="A497" s="231"/>
      <c r="B497" s="9"/>
      <c r="C497" s="7" t="s">
        <v>209</v>
      </c>
      <c r="D497" s="17"/>
      <c r="E497" s="218"/>
      <c r="F497" s="218"/>
      <c r="G497" s="218"/>
      <c r="H497" s="218"/>
      <c r="I497" s="218"/>
      <c r="J497" s="218"/>
      <c r="K497" s="218"/>
      <c r="L497" s="218"/>
      <c r="M497" s="273"/>
    </row>
    <row r="498" spans="1:13" x14ac:dyDescent="0.2">
      <c r="A498" s="231"/>
      <c r="B498" s="9"/>
      <c r="C498" s="7"/>
      <c r="D498" s="8"/>
      <c r="E498" s="218">
        <v>2</v>
      </c>
      <c r="F498" s="218">
        <v>1.05</v>
      </c>
      <c r="G498" s="218"/>
      <c r="H498" s="218"/>
      <c r="I498" s="218">
        <v>1.6</v>
      </c>
      <c r="J498" s="218">
        <f>E498*I498*F498</f>
        <v>3.3600000000000003</v>
      </c>
      <c r="K498" s="218"/>
      <c r="L498" s="218"/>
      <c r="M498" s="273">
        <f>J498</f>
        <v>3.3600000000000003</v>
      </c>
    </row>
    <row r="499" spans="1:13" x14ac:dyDescent="0.2">
      <c r="A499" s="231"/>
      <c r="B499" s="9"/>
      <c r="C499" s="7"/>
      <c r="D499" s="17"/>
      <c r="E499" s="218"/>
      <c r="F499" s="218"/>
      <c r="G499" s="218"/>
      <c r="H499" s="218"/>
      <c r="I499" s="218"/>
      <c r="J499" s="218"/>
      <c r="K499" s="218"/>
      <c r="L499" s="218"/>
      <c r="M499" s="277"/>
    </row>
    <row r="500" spans="1:13" ht="96" x14ac:dyDescent="0.2">
      <c r="A500" s="238" t="s">
        <v>92</v>
      </c>
      <c r="B500" s="131" t="s">
        <v>352</v>
      </c>
      <c r="C500" s="132" t="s">
        <v>284</v>
      </c>
      <c r="D500" s="133" t="s">
        <v>17</v>
      </c>
      <c r="E500" s="142"/>
      <c r="F500" s="142"/>
      <c r="G500" s="142"/>
      <c r="H500" s="142"/>
      <c r="I500" s="142"/>
      <c r="J500" s="142"/>
      <c r="K500" s="142"/>
      <c r="L500" s="142"/>
      <c r="M500" s="283">
        <f>SUM(M502:M529)</f>
        <v>11.420000000000005</v>
      </c>
    </row>
    <row r="501" spans="1:13" x14ac:dyDescent="0.2">
      <c r="A501" s="231"/>
      <c r="B501" s="9"/>
      <c r="C501" s="7" t="s">
        <v>151</v>
      </c>
      <c r="D501" s="8"/>
      <c r="E501" s="218"/>
      <c r="F501" s="218"/>
      <c r="G501" s="218"/>
      <c r="H501" s="218"/>
      <c r="I501" s="218"/>
      <c r="J501" s="218"/>
      <c r="K501" s="218"/>
      <c r="L501" s="218"/>
      <c r="M501" s="273"/>
    </row>
    <row r="502" spans="1:13" x14ac:dyDescent="0.2">
      <c r="A502" s="231"/>
      <c r="B502" s="9"/>
      <c r="C502" s="7" t="s">
        <v>249</v>
      </c>
      <c r="D502" s="8"/>
      <c r="E502" s="218"/>
      <c r="F502" s="218">
        <v>1.35</v>
      </c>
      <c r="G502" s="218"/>
      <c r="H502" s="218"/>
      <c r="I502" s="218">
        <v>1.6</v>
      </c>
      <c r="J502" s="218">
        <f>F502*I502</f>
        <v>2.16</v>
      </c>
      <c r="K502" s="218"/>
      <c r="L502" s="218"/>
      <c r="M502" s="273">
        <f>J502</f>
        <v>2.16</v>
      </c>
    </row>
    <row r="503" spans="1:13" x14ac:dyDescent="0.2">
      <c r="A503" s="231"/>
      <c r="B503" s="9"/>
      <c r="C503" s="7"/>
      <c r="D503" s="8"/>
      <c r="E503" s="218"/>
      <c r="F503" s="218"/>
      <c r="G503" s="218"/>
      <c r="H503" s="218"/>
      <c r="I503" s="218"/>
      <c r="J503" s="218"/>
      <c r="K503" s="218"/>
      <c r="L503" s="218"/>
      <c r="M503" s="273"/>
    </row>
    <row r="504" spans="1:13" x14ac:dyDescent="0.2">
      <c r="A504" s="231"/>
      <c r="B504" s="9"/>
      <c r="C504" s="7" t="s">
        <v>405</v>
      </c>
      <c r="D504" s="8"/>
      <c r="E504" s="218"/>
      <c r="F504" s="218">
        <v>0.8</v>
      </c>
      <c r="G504" s="218"/>
      <c r="H504" s="218"/>
      <c r="I504" s="218">
        <v>2.1</v>
      </c>
      <c r="J504" s="218">
        <f>F504*I504</f>
        <v>1.6800000000000002</v>
      </c>
      <c r="K504" s="218"/>
      <c r="L504" s="218"/>
      <c r="M504" s="273">
        <f t="shared" ref="M504:M527" si="3">J504</f>
        <v>1.6800000000000002</v>
      </c>
    </row>
    <row r="505" spans="1:13" x14ac:dyDescent="0.2">
      <c r="A505" s="231"/>
      <c r="B505" s="9"/>
      <c r="C505" s="7"/>
      <c r="D505" s="8"/>
      <c r="E505" s="218"/>
      <c r="F505" s="218"/>
      <c r="G505" s="218"/>
      <c r="H505" s="218"/>
      <c r="I505" s="218"/>
      <c r="J505" s="218"/>
      <c r="K505" s="218"/>
      <c r="L505" s="218"/>
      <c r="M505" s="273"/>
    </row>
    <row r="506" spans="1:13" x14ac:dyDescent="0.2">
      <c r="A506" s="231"/>
      <c r="B506" s="9"/>
      <c r="C506" s="7" t="s">
        <v>251</v>
      </c>
      <c r="D506" s="8"/>
      <c r="E506" s="218">
        <v>2</v>
      </c>
      <c r="F506" s="218">
        <v>0.4</v>
      </c>
      <c r="G506" s="218"/>
      <c r="H506" s="218"/>
      <c r="I506" s="218">
        <v>1.6</v>
      </c>
      <c r="J506" s="218">
        <f>E506*I506*F506</f>
        <v>1.2800000000000002</v>
      </c>
      <c r="K506" s="218"/>
      <c r="L506" s="218"/>
      <c r="M506" s="273">
        <f t="shared" si="3"/>
        <v>1.2800000000000002</v>
      </c>
    </row>
    <row r="507" spans="1:13" x14ac:dyDescent="0.2">
      <c r="A507" s="231"/>
      <c r="B507" s="9"/>
      <c r="C507" s="7"/>
      <c r="D507" s="8"/>
      <c r="E507" s="218"/>
      <c r="F507" s="218"/>
      <c r="G507" s="218"/>
      <c r="H507" s="218"/>
      <c r="I507" s="218"/>
      <c r="J507" s="218"/>
      <c r="K507" s="218"/>
      <c r="L507" s="218"/>
      <c r="M507" s="273"/>
    </row>
    <row r="508" spans="1:13" x14ac:dyDescent="0.2">
      <c r="A508" s="231"/>
      <c r="B508" s="9"/>
      <c r="C508" s="7" t="s">
        <v>252</v>
      </c>
      <c r="D508" s="8"/>
      <c r="E508" s="218"/>
      <c r="F508" s="218">
        <v>0.2</v>
      </c>
      <c r="G508" s="218"/>
      <c r="H508" s="218"/>
      <c r="I508" s="218">
        <v>1.6</v>
      </c>
      <c r="J508" s="218">
        <f>F508*I508</f>
        <v>0.32000000000000006</v>
      </c>
      <c r="K508" s="218"/>
      <c r="L508" s="218"/>
      <c r="M508" s="273">
        <f t="shared" si="3"/>
        <v>0.32000000000000006</v>
      </c>
    </row>
    <row r="509" spans="1:13" x14ac:dyDescent="0.2">
      <c r="A509" s="231"/>
      <c r="B509" s="9"/>
      <c r="C509" s="7"/>
      <c r="D509" s="8"/>
      <c r="E509" s="218"/>
      <c r="F509" s="218"/>
      <c r="G509" s="218"/>
      <c r="H509" s="218"/>
      <c r="I509" s="218"/>
      <c r="J509" s="218"/>
      <c r="K509" s="218"/>
      <c r="L509" s="218"/>
      <c r="M509" s="273"/>
    </row>
    <row r="510" spans="1:13" x14ac:dyDescent="0.2">
      <c r="A510" s="231"/>
      <c r="B510" s="9"/>
      <c r="C510" s="7" t="s">
        <v>179</v>
      </c>
      <c r="D510" s="8"/>
      <c r="E510" s="218"/>
      <c r="F510" s="218"/>
      <c r="G510" s="218"/>
      <c r="H510" s="218"/>
      <c r="I510" s="218"/>
      <c r="J510" s="218"/>
      <c r="K510" s="218"/>
      <c r="L510" s="218"/>
      <c r="M510" s="273"/>
    </row>
    <row r="511" spans="1:13" x14ac:dyDescent="0.2">
      <c r="A511" s="231"/>
      <c r="B511" s="9"/>
      <c r="C511" s="7" t="s">
        <v>254</v>
      </c>
      <c r="D511" s="8"/>
      <c r="E511" s="218"/>
      <c r="F511" s="218">
        <v>0.8</v>
      </c>
      <c r="G511" s="218"/>
      <c r="H511" s="218"/>
      <c r="I511" s="218">
        <v>1.3</v>
      </c>
      <c r="J511" s="218">
        <f>F511*I511</f>
        <v>1.04</v>
      </c>
      <c r="K511" s="218"/>
      <c r="L511" s="218"/>
      <c r="M511" s="273">
        <f t="shared" si="3"/>
        <v>1.04</v>
      </c>
    </row>
    <row r="512" spans="1:13" x14ac:dyDescent="0.2">
      <c r="A512" s="231"/>
      <c r="B512" s="9"/>
      <c r="C512" s="7"/>
      <c r="D512" s="8"/>
      <c r="E512" s="218">
        <v>2</v>
      </c>
      <c r="F512" s="218">
        <v>0.2</v>
      </c>
      <c r="G512" s="218"/>
      <c r="H512" s="218"/>
      <c r="I512" s="218">
        <v>1.3</v>
      </c>
      <c r="J512" s="218">
        <f>E512*I512*F512</f>
        <v>0.52</v>
      </c>
      <c r="K512" s="218"/>
      <c r="L512" s="218"/>
      <c r="M512" s="273">
        <f t="shared" si="3"/>
        <v>0.52</v>
      </c>
    </row>
    <row r="513" spans="1:13" x14ac:dyDescent="0.2">
      <c r="A513" s="231"/>
      <c r="B513" s="9"/>
      <c r="C513" s="7"/>
      <c r="D513" s="8"/>
      <c r="E513" s="218"/>
      <c r="F513" s="218"/>
      <c r="G513" s="218"/>
      <c r="H513" s="218"/>
      <c r="I513" s="218"/>
      <c r="J513" s="218"/>
      <c r="K513" s="218"/>
      <c r="L513" s="218"/>
      <c r="M513" s="273"/>
    </row>
    <row r="514" spans="1:13" x14ac:dyDescent="0.2">
      <c r="A514" s="231"/>
      <c r="B514" s="9"/>
      <c r="C514" s="7" t="s">
        <v>255</v>
      </c>
      <c r="D514" s="8"/>
      <c r="E514" s="218">
        <v>2</v>
      </c>
      <c r="F514" s="218">
        <v>0.4</v>
      </c>
      <c r="G514" s="218"/>
      <c r="H514" s="218"/>
      <c r="I514" s="218">
        <v>1.3</v>
      </c>
      <c r="J514" s="218"/>
      <c r="K514" s="218"/>
      <c r="L514" s="218"/>
      <c r="M514" s="273"/>
    </row>
    <row r="515" spans="1:13" x14ac:dyDescent="0.2">
      <c r="A515" s="231"/>
      <c r="B515" s="9"/>
      <c r="C515" s="7"/>
      <c r="D515" s="8"/>
      <c r="E515" s="218"/>
      <c r="F515" s="218"/>
      <c r="G515" s="218"/>
      <c r="H515" s="218"/>
      <c r="I515" s="218"/>
      <c r="J515" s="218"/>
      <c r="K515" s="218"/>
      <c r="L515" s="218"/>
      <c r="M515" s="273"/>
    </row>
    <row r="516" spans="1:13" x14ac:dyDescent="0.2">
      <c r="A516" s="231"/>
      <c r="B516" s="9"/>
      <c r="C516" s="7" t="s">
        <v>256</v>
      </c>
      <c r="D516" s="8"/>
      <c r="E516" s="218"/>
      <c r="F516" s="218">
        <v>0.2</v>
      </c>
      <c r="G516" s="218"/>
      <c r="H516" s="218"/>
      <c r="I516" s="218">
        <v>1.3</v>
      </c>
      <c r="J516" s="218">
        <f>F516*I516</f>
        <v>0.26</v>
      </c>
      <c r="K516" s="218"/>
      <c r="L516" s="218"/>
      <c r="M516" s="273">
        <f t="shared" si="3"/>
        <v>0.26</v>
      </c>
    </row>
    <row r="517" spans="1:13" x14ac:dyDescent="0.2">
      <c r="A517" s="231"/>
      <c r="B517" s="9"/>
      <c r="C517" s="7"/>
      <c r="D517" s="8"/>
      <c r="E517" s="218"/>
      <c r="F517" s="218"/>
      <c r="G517" s="218"/>
      <c r="H517" s="218"/>
      <c r="I517" s="218"/>
      <c r="J517" s="218"/>
      <c r="K517" s="218"/>
      <c r="L517" s="218"/>
      <c r="M517" s="273"/>
    </row>
    <row r="518" spans="1:13" x14ac:dyDescent="0.2">
      <c r="A518" s="231"/>
      <c r="B518" s="9"/>
      <c r="C518" s="7" t="s">
        <v>152</v>
      </c>
      <c r="D518" s="8"/>
      <c r="E518" s="218"/>
      <c r="F518" s="218"/>
      <c r="G518" s="218"/>
      <c r="H518" s="218"/>
      <c r="I518" s="218"/>
      <c r="J518" s="218"/>
      <c r="K518" s="218"/>
      <c r="L518" s="218"/>
      <c r="M518" s="273"/>
    </row>
    <row r="519" spans="1:13" x14ac:dyDescent="0.2">
      <c r="A519" s="231"/>
      <c r="B519" s="9"/>
      <c r="C519" s="7" t="s">
        <v>257</v>
      </c>
      <c r="D519" s="8"/>
      <c r="E519" s="218"/>
      <c r="F519" s="218">
        <v>0.8</v>
      </c>
      <c r="G519" s="218"/>
      <c r="H519" s="218"/>
      <c r="I519" s="218">
        <v>1.6</v>
      </c>
      <c r="J519" s="218">
        <f>F519*I519</f>
        <v>1.2800000000000002</v>
      </c>
      <c r="K519" s="218"/>
      <c r="L519" s="218"/>
      <c r="M519" s="273">
        <f t="shared" si="3"/>
        <v>1.2800000000000002</v>
      </c>
    </row>
    <row r="520" spans="1:13" x14ac:dyDescent="0.2">
      <c r="A520" s="231"/>
      <c r="B520" s="9"/>
      <c r="C520" s="7"/>
      <c r="D520" s="8"/>
      <c r="E520" s="218">
        <v>2</v>
      </c>
      <c r="F520" s="218">
        <v>0.2</v>
      </c>
      <c r="G520" s="218"/>
      <c r="H520" s="218"/>
      <c r="I520" s="218">
        <v>1.6</v>
      </c>
      <c r="J520" s="218">
        <f>E520*I520*F520</f>
        <v>0.64000000000000012</v>
      </c>
      <c r="K520" s="218"/>
      <c r="L520" s="218"/>
      <c r="M520" s="273">
        <f t="shared" si="3"/>
        <v>0.64000000000000012</v>
      </c>
    </row>
    <row r="521" spans="1:13" x14ac:dyDescent="0.2">
      <c r="A521" s="231"/>
      <c r="B521" s="9"/>
      <c r="C521" s="7"/>
      <c r="D521" s="8"/>
      <c r="E521" s="218"/>
      <c r="F521" s="218"/>
      <c r="G521" s="218"/>
      <c r="H521" s="218"/>
      <c r="I521" s="218"/>
      <c r="J521" s="218"/>
      <c r="K521" s="218"/>
      <c r="L521" s="218"/>
      <c r="M521" s="273"/>
    </row>
    <row r="522" spans="1:13" x14ac:dyDescent="0.2">
      <c r="A522" s="231"/>
      <c r="B522" s="9"/>
      <c r="C522" s="7" t="s">
        <v>258</v>
      </c>
      <c r="D522" s="8"/>
      <c r="E522" s="218"/>
      <c r="F522" s="218">
        <v>0.4</v>
      </c>
      <c r="G522" s="218"/>
      <c r="H522" s="218"/>
      <c r="I522" s="218">
        <v>1.6</v>
      </c>
      <c r="J522" s="218">
        <f>F522*I522</f>
        <v>0.64000000000000012</v>
      </c>
      <c r="K522" s="218"/>
      <c r="L522" s="218"/>
      <c r="M522" s="273">
        <f t="shared" si="3"/>
        <v>0.64000000000000012</v>
      </c>
    </row>
    <row r="523" spans="1:13" x14ac:dyDescent="0.2">
      <c r="A523" s="231"/>
      <c r="B523" s="9"/>
      <c r="C523" s="7" t="s">
        <v>259</v>
      </c>
      <c r="D523" s="8"/>
      <c r="E523" s="218"/>
      <c r="F523" s="218">
        <v>0.4</v>
      </c>
      <c r="G523" s="218"/>
      <c r="H523" s="218"/>
      <c r="I523" s="218">
        <v>1.6</v>
      </c>
      <c r="J523" s="218">
        <f>F523*I523</f>
        <v>0.64000000000000012</v>
      </c>
      <c r="K523" s="218"/>
      <c r="L523" s="218"/>
      <c r="M523" s="273">
        <f t="shared" si="3"/>
        <v>0.64000000000000012</v>
      </c>
    </row>
    <row r="524" spans="1:13" x14ac:dyDescent="0.2">
      <c r="A524" s="231"/>
      <c r="B524" s="9"/>
      <c r="C524" s="7"/>
      <c r="D524" s="8"/>
      <c r="E524" s="218"/>
      <c r="F524" s="218"/>
      <c r="G524" s="218"/>
      <c r="H524" s="218"/>
      <c r="I524" s="218"/>
      <c r="J524" s="218"/>
      <c r="K524" s="218"/>
      <c r="L524" s="218"/>
      <c r="M524" s="273"/>
    </row>
    <row r="525" spans="1:13" x14ac:dyDescent="0.2">
      <c r="A525" s="231"/>
      <c r="B525" s="9"/>
      <c r="C525" s="7" t="s">
        <v>262</v>
      </c>
      <c r="D525" s="8"/>
      <c r="E525" s="218"/>
      <c r="F525" s="218">
        <v>0.2</v>
      </c>
      <c r="G525" s="218"/>
      <c r="H525" s="218"/>
      <c r="I525" s="218">
        <v>1.6</v>
      </c>
      <c r="J525" s="218">
        <f>F525*I525</f>
        <v>0.32000000000000006</v>
      </c>
      <c r="K525" s="218"/>
      <c r="L525" s="218"/>
      <c r="M525" s="273">
        <f t="shared" si="3"/>
        <v>0.32000000000000006</v>
      </c>
    </row>
    <row r="526" spans="1:13" x14ac:dyDescent="0.2">
      <c r="A526" s="231"/>
      <c r="B526" s="9"/>
      <c r="C526" s="7"/>
      <c r="D526" s="8"/>
      <c r="E526" s="218"/>
      <c r="F526" s="218"/>
      <c r="G526" s="218"/>
      <c r="H526" s="218"/>
      <c r="I526" s="218"/>
      <c r="J526" s="218"/>
      <c r="K526" s="218"/>
      <c r="L526" s="218"/>
      <c r="M526" s="273"/>
    </row>
    <row r="527" spans="1:13" x14ac:dyDescent="0.2">
      <c r="A527" s="231"/>
      <c r="B527" s="9"/>
      <c r="C527" s="7" t="s">
        <v>264</v>
      </c>
      <c r="D527" s="8"/>
      <c r="E527" s="218"/>
      <c r="F527" s="218">
        <v>0.4</v>
      </c>
      <c r="G527" s="218"/>
      <c r="H527" s="218"/>
      <c r="I527" s="218">
        <v>1.6</v>
      </c>
      <c r="J527" s="218">
        <f>F527*I527</f>
        <v>0.64000000000000012</v>
      </c>
      <c r="K527" s="218"/>
      <c r="L527" s="218"/>
      <c r="M527" s="273">
        <f t="shared" si="3"/>
        <v>0.64000000000000012</v>
      </c>
    </row>
    <row r="528" spans="1:13" x14ac:dyDescent="0.2">
      <c r="A528" s="231"/>
      <c r="B528" s="9"/>
      <c r="C528" s="7"/>
      <c r="D528" s="8"/>
      <c r="E528" s="218"/>
      <c r="F528" s="218"/>
      <c r="G528" s="218"/>
      <c r="H528" s="218"/>
      <c r="I528" s="218"/>
      <c r="J528" s="218"/>
      <c r="K528" s="218"/>
      <c r="L528" s="218"/>
      <c r="M528" s="273"/>
    </row>
    <row r="529" spans="1:13" x14ac:dyDescent="0.2">
      <c r="A529" s="231"/>
      <c r="B529" s="9"/>
      <c r="C529" s="7"/>
      <c r="D529" s="8"/>
      <c r="E529" s="218"/>
      <c r="F529" s="218"/>
      <c r="G529" s="218"/>
      <c r="H529" s="218"/>
      <c r="I529" s="218"/>
      <c r="J529" s="218"/>
      <c r="K529" s="218"/>
      <c r="L529" s="218"/>
      <c r="M529" s="273"/>
    </row>
    <row r="530" spans="1:13" x14ac:dyDescent="0.2">
      <c r="A530" s="236"/>
      <c r="B530" s="344"/>
      <c r="C530" s="345"/>
      <c r="D530" s="346"/>
      <c r="E530" s="347"/>
      <c r="F530" s="347"/>
      <c r="G530" s="347"/>
      <c r="H530" s="347"/>
      <c r="I530" s="347"/>
      <c r="J530" s="347"/>
      <c r="K530" s="347"/>
      <c r="L530" s="347"/>
      <c r="M530" s="342"/>
    </row>
    <row r="531" spans="1:13" ht="48" x14ac:dyDescent="0.2">
      <c r="A531" s="231" t="s">
        <v>652</v>
      </c>
      <c r="B531" s="9" t="s">
        <v>353</v>
      </c>
      <c r="C531" s="7" t="s">
        <v>653</v>
      </c>
      <c r="D531" s="17" t="s">
        <v>17</v>
      </c>
      <c r="E531" s="218"/>
      <c r="F531" s="218"/>
      <c r="G531" s="218"/>
      <c r="H531" s="218"/>
      <c r="I531" s="218"/>
      <c r="J531" s="218"/>
      <c r="K531" s="218"/>
      <c r="L531" s="218"/>
      <c r="M531" s="284">
        <f>SUM(M532:M568)</f>
        <v>23.82</v>
      </c>
    </row>
    <row r="532" spans="1:13" x14ac:dyDescent="0.2">
      <c r="A532" s="231"/>
      <c r="B532" s="9"/>
      <c r="C532" s="7" t="s">
        <v>151</v>
      </c>
      <c r="D532" s="17"/>
      <c r="E532" s="218"/>
      <c r="F532" s="218"/>
      <c r="G532" s="218"/>
      <c r="H532" s="218"/>
      <c r="I532" s="218"/>
      <c r="J532" s="218"/>
      <c r="K532" s="218"/>
      <c r="L532" s="218"/>
      <c r="M532" s="273"/>
    </row>
    <row r="533" spans="1:13" x14ac:dyDescent="0.2">
      <c r="A533" s="231"/>
      <c r="B533" s="9"/>
      <c r="C533" s="7" t="s">
        <v>654</v>
      </c>
      <c r="D533" s="8"/>
      <c r="E533" s="218"/>
      <c r="F533" s="218"/>
      <c r="G533" s="218"/>
      <c r="H533" s="218"/>
      <c r="I533" s="218"/>
      <c r="J533" s="218"/>
      <c r="K533" s="218"/>
      <c r="L533" s="218"/>
      <c r="M533" s="273"/>
    </row>
    <row r="534" spans="1:13" x14ac:dyDescent="0.2">
      <c r="A534" s="231"/>
      <c r="B534" s="9"/>
      <c r="C534" s="7" t="s">
        <v>655</v>
      </c>
      <c r="D534" s="8"/>
      <c r="E534" s="218"/>
      <c r="F534" s="218">
        <v>6</v>
      </c>
      <c r="G534" s="218"/>
      <c r="H534" s="218"/>
      <c r="I534" s="218">
        <v>0.15</v>
      </c>
      <c r="J534" s="218">
        <f>F534*I534</f>
        <v>0.89999999999999991</v>
      </c>
      <c r="K534" s="218"/>
      <c r="L534" s="218"/>
      <c r="M534" s="273">
        <f>J534</f>
        <v>0.89999999999999991</v>
      </c>
    </row>
    <row r="535" spans="1:13" x14ac:dyDescent="0.2">
      <c r="A535" s="231"/>
      <c r="B535" s="9"/>
      <c r="C535" s="7"/>
      <c r="D535" s="17"/>
      <c r="E535" s="218"/>
      <c r="F535" s="218"/>
      <c r="G535" s="218"/>
      <c r="H535" s="218"/>
      <c r="I535" s="218"/>
      <c r="J535" s="218"/>
      <c r="K535" s="218"/>
      <c r="L535" s="218"/>
      <c r="M535" s="273"/>
    </row>
    <row r="536" spans="1:13" x14ac:dyDescent="0.2">
      <c r="A536" s="231"/>
      <c r="B536" s="9"/>
      <c r="C536" s="7" t="s">
        <v>407</v>
      </c>
      <c r="D536" s="8"/>
      <c r="E536" s="218"/>
      <c r="F536" s="218"/>
      <c r="G536" s="218"/>
      <c r="H536" s="218"/>
      <c r="I536" s="218"/>
      <c r="J536" s="218"/>
      <c r="K536" s="218"/>
      <c r="L536" s="218"/>
      <c r="M536" s="273"/>
    </row>
    <row r="537" spans="1:13" x14ac:dyDescent="0.2">
      <c r="A537" s="231"/>
      <c r="B537" s="9"/>
      <c r="C537" s="7" t="s">
        <v>406</v>
      </c>
      <c r="D537" s="8"/>
      <c r="E537" s="218"/>
      <c r="F537" s="218">
        <v>13.8</v>
      </c>
      <c r="G537" s="218"/>
      <c r="H537" s="218"/>
      <c r="I537" s="218">
        <v>0.15</v>
      </c>
      <c r="J537" s="218">
        <v>2.0699999999999998</v>
      </c>
      <c r="K537" s="218"/>
      <c r="L537" s="218"/>
      <c r="M537" s="273">
        <v>2.0699999999999998</v>
      </c>
    </row>
    <row r="538" spans="1:13" x14ac:dyDescent="0.2">
      <c r="A538" s="231"/>
      <c r="B538" s="9"/>
      <c r="C538" s="7"/>
      <c r="D538" s="8"/>
      <c r="E538" s="218"/>
      <c r="F538" s="218"/>
      <c r="G538" s="218"/>
      <c r="H538" s="218"/>
      <c r="I538" s="218"/>
      <c r="J538" s="218"/>
      <c r="K538" s="218"/>
      <c r="L538" s="218"/>
      <c r="M538" s="273"/>
    </row>
    <row r="539" spans="1:13" x14ac:dyDescent="0.2">
      <c r="A539" s="231"/>
      <c r="B539" s="9"/>
      <c r="C539" s="7" t="s">
        <v>408</v>
      </c>
      <c r="D539" s="8"/>
      <c r="E539" s="218"/>
      <c r="F539" s="218"/>
      <c r="G539" s="218"/>
      <c r="H539" s="218"/>
      <c r="I539" s="218"/>
      <c r="J539" s="218"/>
      <c r="K539" s="218"/>
      <c r="L539" s="218"/>
      <c r="M539" s="273"/>
    </row>
    <row r="540" spans="1:13" x14ac:dyDescent="0.2">
      <c r="A540" s="231"/>
      <c r="B540" s="9"/>
      <c r="C540" s="7" t="s">
        <v>409</v>
      </c>
      <c r="D540" s="8"/>
      <c r="E540" s="218"/>
      <c r="F540" s="218">
        <v>15</v>
      </c>
      <c r="G540" s="218"/>
      <c r="H540" s="218"/>
      <c r="I540" s="218">
        <v>0.15</v>
      </c>
      <c r="J540" s="218">
        <v>2.25</v>
      </c>
      <c r="K540" s="218"/>
      <c r="L540" s="218"/>
      <c r="M540" s="273">
        <v>2.25</v>
      </c>
    </row>
    <row r="541" spans="1:13" x14ac:dyDescent="0.2">
      <c r="A541" s="231"/>
      <c r="B541" s="9"/>
      <c r="C541" s="7"/>
      <c r="D541" s="8"/>
      <c r="E541" s="218"/>
      <c r="F541" s="218"/>
      <c r="G541" s="218"/>
      <c r="H541" s="218"/>
      <c r="I541" s="218"/>
      <c r="J541" s="218"/>
      <c r="K541" s="218"/>
      <c r="L541" s="218"/>
      <c r="M541" s="273"/>
    </row>
    <row r="542" spans="1:13" x14ac:dyDescent="0.2">
      <c r="A542" s="231"/>
      <c r="B542" s="9"/>
      <c r="C542" s="7" t="s">
        <v>411</v>
      </c>
      <c r="D542" s="8"/>
      <c r="E542" s="218"/>
      <c r="F542" s="218"/>
      <c r="G542" s="218"/>
      <c r="H542" s="218"/>
      <c r="I542" s="218"/>
      <c r="J542" s="218"/>
      <c r="K542" s="218"/>
      <c r="L542" s="218"/>
      <c r="M542" s="273"/>
    </row>
    <row r="543" spans="1:13" x14ac:dyDescent="0.2">
      <c r="A543" s="231"/>
      <c r="B543" s="9"/>
      <c r="C543" s="7" t="s">
        <v>410</v>
      </c>
      <c r="D543" s="8"/>
      <c r="E543" s="218"/>
      <c r="F543" s="218">
        <v>12.4</v>
      </c>
      <c r="G543" s="218"/>
      <c r="H543" s="218"/>
      <c r="I543" s="218">
        <v>0.15</v>
      </c>
      <c r="J543" s="218">
        <v>1.8599999999999999</v>
      </c>
      <c r="K543" s="218"/>
      <c r="L543" s="218"/>
      <c r="M543" s="273">
        <v>1.8599999999999999</v>
      </c>
    </row>
    <row r="544" spans="1:13" x14ac:dyDescent="0.2">
      <c r="A544" s="231"/>
      <c r="B544" s="9"/>
      <c r="C544" s="7"/>
      <c r="D544" s="8"/>
      <c r="E544" s="218"/>
      <c r="F544" s="218"/>
      <c r="G544" s="218"/>
      <c r="H544" s="218"/>
      <c r="I544" s="218"/>
      <c r="J544" s="218"/>
      <c r="K544" s="218"/>
      <c r="L544" s="218"/>
      <c r="M544" s="273"/>
    </row>
    <row r="545" spans="1:13" x14ac:dyDescent="0.2">
      <c r="A545" s="231"/>
      <c r="B545" s="9"/>
      <c r="C545" s="7" t="s">
        <v>179</v>
      </c>
      <c r="D545" s="8"/>
      <c r="E545" s="218"/>
      <c r="F545" s="218"/>
      <c r="G545" s="218"/>
      <c r="H545" s="218"/>
      <c r="I545" s="218"/>
      <c r="J545" s="218"/>
      <c r="K545" s="218"/>
      <c r="L545" s="218"/>
      <c r="M545" s="273"/>
    </row>
    <row r="546" spans="1:13" x14ac:dyDescent="0.2">
      <c r="A546" s="231"/>
      <c r="B546" s="9"/>
      <c r="C546" s="7" t="s">
        <v>412</v>
      </c>
      <c r="D546" s="8"/>
      <c r="E546" s="218"/>
      <c r="F546" s="218"/>
      <c r="G546" s="218"/>
      <c r="H546" s="218"/>
      <c r="I546" s="218"/>
      <c r="J546" s="218"/>
      <c r="K546" s="218"/>
      <c r="L546" s="218"/>
      <c r="M546" s="273"/>
    </row>
    <row r="547" spans="1:13" x14ac:dyDescent="0.2">
      <c r="A547" s="231"/>
      <c r="B547" s="9"/>
      <c r="C547" s="7" t="s">
        <v>413</v>
      </c>
      <c r="D547" s="8"/>
      <c r="E547" s="218"/>
      <c r="F547" s="218">
        <v>13.2</v>
      </c>
      <c r="G547" s="218"/>
      <c r="H547" s="218"/>
      <c r="I547" s="218">
        <v>0.15</v>
      </c>
      <c r="J547" s="218">
        <v>1.9799999999999998</v>
      </c>
      <c r="K547" s="218"/>
      <c r="L547" s="218"/>
      <c r="M547" s="273">
        <v>1.9799999999999998</v>
      </c>
    </row>
    <row r="548" spans="1:13" x14ac:dyDescent="0.2">
      <c r="A548" s="231"/>
      <c r="B548" s="9"/>
      <c r="C548" s="7" t="s">
        <v>418</v>
      </c>
      <c r="D548" s="8"/>
      <c r="E548" s="218"/>
      <c r="F548" s="218">
        <v>9.8000000000000007</v>
      </c>
      <c r="G548" s="218"/>
      <c r="H548" s="218"/>
      <c r="I548" s="218">
        <v>0.15</v>
      </c>
      <c r="J548" s="218">
        <v>1.47</v>
      </c>
      <c r="K548" s="218"/>
      <c r="L548" s="218"/>
      <c r="M548" s="273">
        <v>1.47</v>
      </c>
    </row>
    <row r="549" spans="1:13" x14ac:dyDescent="0.2">
      <c r="A549" s="231"/>
      <c r="B549" s="9"/>
      <c r="C549" s="7"/>
      <c r="D549" s="8"/>
      <c r="E549" s="218"/>
      <c r="F549" s="218"/>
      <c r="G549" s="218"/>
      <c r="H549" s="218"/>
      <c r="I549" s="218"/>
      <c r="J549" s="218"/>
      <c r="K549" s="218"/>
      <c r="L549" s="218"/>
      <c r="M549" s="273"/>
    </row>
    <row r="550" spans="1:13" x14ac:dyDescent="0.2">
      <c r="A550" s="231"/>
      <c r="B550" s="9"/>
      <c r="C550" s="7" t="s">
        <v>415</v>
      </c>
      <c r="D550" s="8"/>
      <c r="E550" s="218"/>
      <c r="F550" s="218"/>
      <c r="G550" s="218"/>
      <c r="H550" s="218"/>
      <c r="I550" s="218"/>
      <c r="J550" s="218"/>
      <c r="K550" s="218"/>
      <c r="L550" s="218"/>
      <c r="M550" s="273"/>
    </row>
    <row r="551" spans="1:13" x14ac:dyDescent="0.2">
      <c r="A551" s="231"/>
      <c r="B551" s="9"/>
      <c r="C551" s="7" t="s">
        <v>414</v>
      </c>
      <c r="D551" s="8"/>
      <c r="E551" s="218"/>
      <c r="F551" s="218">
        <v>14.4</v>
      </c>
      <c r="G551" s="218"/>
      <c r="H551" s="218"/>
      <c r="I551" s="218">
        <v>0.15</v>
      </c>
      <c r="J551" s="218">
        <v>2.16</v>
      </c>
      <c r="K551" s="218"/>
      <c r="L551" s="218"/>
      <c r="M551" s="273">
        <v>2.16</v>
      </c>
    </row>
    <row r="552" spans="1:13" x14ac:dyDescent="0.2">
      <c r="A552" s="231"/>
      <c r="B552" s="9"/>
      <c r="C552" s="7"/>
      <c r="D552" s="8"/>
      <c r="E552" s="218"/>
      <c r="F552" s="218"/>
      <c r="G552" s="218"/>
      <c r="H552" s="218"/>
      <c r="I552" s="218"/>
      <c r="J552" s="218"/>
      <c r="K552" s="218"/>
      <c r="L552" s="218"/>
      <c r="M552" s="273"/>
    </row>
    <row r="553" spans="1:13" x14ac:dyDescent="0.2">
      <c r="A553" s="231"/>
      <c r="B553" s="9"/>
      <c r="C553" s="7" t="s">
        <v>416</v>
      </c>
      <c r="D553" s="8"/>
      <c r="E553" s="218"/>
      <c r="F553" s="218"/>
      <c r="G553" s="218"/>
      <c r="H553" s="218"/>
      <c r="I553" s="218"/>
      <c r="J553" s="218"/>
      <c r="K553" s="218"/>
      <c r="L553" s="218"/>
      <c r="M553" s="273"/>
    </row>
    <row r="554" spans="1:13" x14ac:dyDescent="0.2">
      <c r="A554" s="231"/>
      <c r="B554" s="9"/>
      <c r="C554" s="7" t="s">
        <v>417</v>
      </c>
      <c r="D554" s="8"/>
      <c r="E554" s="218"/>
      <c r="F554" s="218">
        <v>13.8</v>
      </c>
      <c r="G554" s="218"/>
      <c r="H554" s="218"/>
      <c r="I554" s="218">
        <v>0.15</v>
      </c>
      <c r="J554" s="218">
        <v>2.0699999999999998</v>
      </c>
      <c r="K554" s="218"/>
      <c r="L554" s="218"/>
      <c r="M554" s="273">
        <v>2.0699999999999998</v>
      </c>
    </row>
    <row r="555" spans="1:13" x14ac:dyDescent="0.2">
      <c r="A555" s="231"/>
      <c r="B555" s="9"/>
      <c r="C555" s="7"/>
      <c r="D555" s="8"/>
      <c r="E555" s="218"/>
      <c r="F555" s="218"/>
      <c r="G555" s="218"/>
      <c r="H555" s="218"/>
      <c r="I555" s="218"/>
      <c r="J555" s="218"/>
      <c r="K555" s="218"/>
      <c r="L555" s="218"/>
      <c r="M555" s="273"/>
    </row>
    <row r="556" spans="1:13" x14ac:dyDescent="0.2">
      <c r="A556" s="231"/>
      <c r="B556" s="9"/>
      <c r="C556" s="7" t="s">
        <v>152</v>
      </c>
      <c r="D556" s="8"/>
      <c r="E556" s="218"/>
      <c r="F556" s="218"/>
      <c r="G556" s="218"/>
      <c r="H556" s="218"/>
      <c r="I556" s="218"/>
      <c r="J556" s="218"/>
      <c r="K556" s="218"/>
      <c r="L556" s="218"/>
      <c r="M556" s="273"/>
    </row>
    <row r="557" spans="1:13" x14ac:dyDescent="0.2">
      <c r="A557" s="231"/>
      <c r="B557" s="9"/>
      <c r="C557" s="7" t="s">
        <v>420</v>
      </c>
      <c r="D557" s="8"/>
      <c r="E557" s="218"/>
      <c r="F557" s="218"/>
      <c r="G557" s="218"/>
      <c r="H557" s="218"/>
      <c r="I557" s="218"/>
      <c r="J557" s="218"/>
      <c r="K557" s="218"/>
      <c r="L557" s="218"/>
      <c r="M557" s="273"/>
    </row>
    <row r="558" spans="1:13" x14ac:dyDescent="0.2">
      <c r="A558" s="231"/>
      <c r="B558" s="9"/>
      <c r="C558" s="7" t="s">
        <v>406</v>
      </c>
      <c r="D558" s="8"/>
      <c r="E558" s="218"/>
      <c r="F558" s="218">
        <v>13.8</v>
      </c>
      <c r="G558" s="218"/>
      <c r="H558" s="218"/>
      <c r="I558" s="218">
        <v>0.15</v>
      </c>
      <c r="J558" s="218">
        <v>2.0699999999999998</v>
      </c>
      <c r="K558" s="218"/>
      <c r="L558" s="218"/>
      <c r="M558" s="273">
        <v>2.0699999999999998</v>
      </c>
    </row>
    <row r="559" spans="1:13" x14ac:dyDescent="0.2">
      <c r="A559" s="231"/>
      <c r="B559" s="9"/>
      <c r="C559" s="7" t="s">
        <v>419</v>
      </c>
      <c r="D559" s="8"/>
      <c r="E559" s="218"/>
      <c r="F559" s="218">
        <v>10.4</v>
      </c>
      <c r="G559" s="218"/>
      <c r="H559" s="218"/>
      <c r="I559" s="218">
        <v>0.15</v>
      </c>
      <c r="J559" s="218">
        <v>1.56</v>
      </c>
      <c r="K559" s="218"/>
      <c r="L559" s="218"/>
      <c r="M559" s="273">
        <v>1.56</v>
      </c>
    </row>
    <row r="560" spans="1:13" x14ac:dyDescent="0.2">
      <c r="A560" s="231"/>
      <c r="B560" s="9"/>
      <c r="C560" s="7"/>
      <c r="D560" s="8"/>
      <c r="E560" s="218"/>
      <c r="F560" s="218"/>
      <c r="G560" s="218"/>
      <c r="H560" s="218"/>
      <c r="I560" s="218"/>
      <c r="J560" s="218"/>
      <c r="K560" s="218"/>
      <c r="L560" s="218"/>
      <c r="M560" s="273"/>
    </row>
    <row r="561" spans="1:14" x14ac:dyDescent="0.2">
      <c r="A561" s="231"/>
      <c r="B561" s="9"/>
      <c r="C561" s="7" t="s">
        <v>421</v>
      </c>
      <c r="D561" s="8"/>
      <c r="E561" s="218"/>
      <c r="F561" s="218"/>
      <c r="G561" s="218"/>
      <c r="H561" s="218"/>
      <c r="I561" s="218"/>
      <c r="J561" s="218"/>
      <c r="K561" s="218"/>
      <c r="L561" s="218"/>
      <c r="M561" s="273"/>
    </row>
    <row r="562" spans="1:14" x14ac:dyDescent="0.2">
      <c r="A562" s="231"/>
      <c r="B562" s="9"/>
      <c r="C562" s="7" t="s">
        <v>409</v>
      </c>
      <c r="D562" s="8"/>
      <c r="E562" s="218"/>
      <c r="F562" s="218">
        <v>15</v>
      </c>
      <c r="G562" s="218"/>
      <c r="H562" s="218"/>
      <c r="I562" s="218">
        <v>0.15</v>
      </c>
      <c r="J562" s="218">
        <v>2.25</v>
      </c>
      <c r="K562" s="218"/>
      <c r="L562" s="218"/>
      <c r="M562" s="273">
        <v>2.25</v>
      </c>
    </row>
    <row r="563" spans="1:14" x14ac:dyDescent="0.2">
      <c r="A563" s="231"/>
      <c r="B563" s="9"/>
      <c r="C563" s="7"/>
      <c r="D563" s="8"/>
      <c r="E563" s="218"/>
      <c r="F563" s="218"/>
      <c r="G563" s="218"/>
      <c r="H563" s="218"/>
      <c r="I563" s="218"/>
      <c r="J563" s="218"/>
      <c r="K563" s="218"/>
      <c r="L563" s="218"/>
      <c r="M563" s="273"/>
    </row>
    <row r="564" spans="1:14" x14ac:dyDescent="0.2">
      <c r="A564" s="231"/>
      <c r="B564" s="9"/>
      <c r="C564" s="7" t="s">
        <v>422</v>
      </c>
      <c r="D564" s="8"/>
      <c r="E564" s="218"/>
      <c r="F564" s="218"/>
      <c r="G564" s="218"/>
      <c r="H564" s="218"/>
      <c r="I564" s="218"/>
      <c r="J564" s="218"/>
      <c r="K564" s="218"/>
      <c r="L564" s="218"/>
      <c r="M564" s="273"/>
    </row>
    <row r="565" spans="1:14" x14ac:dyDescent="0.2">
      <c r="A565" s="231"/>
      <c r="B565" s="9"/>
      <c r="C565" s="7" t="s">
        <v>410</v>
      </c>
      <c r="D565" s="8"/>
      <c r="E565" s="218"/>
      <c r="F565" s="218">
        <v>12.4</v>
      </c>
      <c r="G565" s="218"/>
      <c r="H565" s="218"/>
      <c r="I565" s="218">
        <v>0.15</v>
      </c>
      <c r="J565" s="218">
        <v>1.8599999999999999</v>
      </c>
      <c r="K565" s="218"/>
      <c r="L565" s="218"/>
      <c r="M565" s="273">
        <v>1.8599999999999999</v>
      </c>
    </row>
    <row r="566" spans="1:14" x14ac:dyDescent="0.2">
      <c r="A566" s="231"/>
      <c r="B566" s="9"/>
      <c r="C566" s="7"/>
      <c r="D566" s="8"/>
      <c r="E566" s="218"/>
      <c r="F566" s="218"/>
      <c r="G566" s="218"/>
      <c r="H566" s="218"/>
      <c r="I566" s="218"/>
      <c r="J566" s="218"/>
      <c r="K566" s="218"/>
      <c r="L566" s="218"/>
      <c r="M566" s="273"/>
    </row>
    <row r="567" spans="1:14" x14ac:dyDescent="0.2">
      <c r="A567" s="231"/>
      <c r="B567" s="9"/>
      <c r="C567" s="7" t="s">
        <v>423</v>
      </c>
      <c r="D567" s="8"/>
      <c r="E567" s="218"/>
      <c r="F567" s="218"/>
      <c r="G567" s="218"/>
      <c r="H567" s="218"/>
      <c r="I567" s="218"/>
      <c r="J567" s="218"/>
      <c r="K567" s="218"/>
      <c r="L567" s="218"/>
      <c r="M567" s="273"/>
    </row>
    <row r="568" spans="1:14" x14ac:dyDescent="0.2">
      <c r="A568" s="231"/>
      <c r="B568" s="9"/>
      <c r="C568" s="7" t="s">
        <v>424</v>
      </c>
      <c r="D568" s="8"/>
      <c r="E568" s="218"/>
      <c r="F568" s="218">
        <v>8.8000000000000007</v>
      </c>
      <c r="G568" s="218"/>
      <c r="H568" s="218"/>
      <c r="I568" s="218">
        <v>0.15</v>
      </c>
      <c r="J568" s="218">
        <v>1.32</v>
      </c>
      <c r="K568" s="218"/>
      <c r="L568" s="218"/>
      <c r="M568" s="273">
        <v>1.32</v>
      </c>
    </row>
    <row r="569" spans="1:14" x14ac:dyDescent="0.2">
      <c r="A569" s="231"/>
      <c r="B569" s="9"/>
      <c r="C569" s="7"/>
      <c r="D569" s="8"/>
      <c r="E569" s="218"/>
      <c r="F569" s="218"/>
      <c r="G569" s="218"/>
      <c r="H569" s="218"/>
      <c r="I569" s="218"/>
      <c r="J569" s="218"/>
      <c r="K569" s="218"/>
      <c r="L569" s="218"/>
      <c r="M569" s="273"/>
    </row>
    <row r="570" spans="1:14" x14ac:dyDescent="0.2">
      <c r="A570" s="231"/>
      <c r="B570" s="9"/>
      <c r="C570" s="7"/>
      <c r="D570" s="8"/>
      <c r="E570" s="218"/>
      <c r="F570" s="218"/>
      <c r="G570" s="218"/>
      <c r="H570" s="218"/>
      <c r="I570" s="218"/>
      <c r="J570" s="218"/>
      <c r="K570" s="218"/>
      <c r="L570" s="218"/>
      <c r="M570" s="273"/>
    </row>
    <row r="571" spans="1:14" x14ac:dyDescent="0.2">
      <c r="A571" s="231"/>
      <c r="B571" s="9"/>
      <c r="C571" s="7"/>
      <c r="D571" s="8"/>
      <c r="E571" s="218"/>
      <c r="F571" s="218"/>
      <c r="G571" s="218"/>
      <c r="H571" s="218"/>
      <c r="I571" s="218"/>
      <c r="J571" s="218"/>
      <c r="K571" s="218"/>
      <c r="L571" s="218"/>
      <c r="M571" s="273"/>
    </row>
    <row r="572" spans="1:14" ht="48" x14ac:dyDescent="0.2">
      <c r="A572" s="231" t="s">
        <v>93</v>
      </c>
      <c r="B572" s="9" t="s">
        <v>354</v>
      </c>
      <c r="C572" s="7" t="s">
        <v>94</v>
      </c>
      <c r="D572" s="17" t="s">
        <v>17</v>
      </c>
      <c r="E572" s="218"/>
      <c r="F572" s="218"/>
      <c r="G572" s="218"/>
      <c r="H572" s="218"/>
      <c r="I572" s="218"/>
      <c r="J572" s="218"/>
      <c r="K572" s="218"/>
      <c r="L572" s="218"/>
      <c r="M572" s="272">
        <f>SUM(M573)</f>
        <v>32.81</v>
      </c>
    </row>
    <row r="573" spans="1:14" x14ac:dyDescent="0.2">
      <c r="A573" s="231"/>
      <c r="B573" s="9"/>
      <c r="C573" s="7" t="s">
        <v>640</v>
      </c>
      <c r="D573" s="17"/>
      <c r="E573" s="218"/>
      <c r="F573" s="218"/>
      <c r="G573" s="218"/>
      <c r="H573" s="218"/>
      <c r="I573" s="218"/>
      <c r="J573" s="218">
        <v>32.81</v>
      </c>
      <c r="K573" s="218"/>
      <c r="L573" s="218"/>
      <c r="M573" s="273">
        <f>J573</f>
        <v>32.81</v>
      </c>
    </row>
    <row r="574" spans="1:14" x14ac:dyDescent="0.2">
      <c r="A574" s="231"/>
      <c r="B574" s="9"/>
      <c r="C574" s="7"/>
      <c r="D574" s="17"/>
      <c r="E574" s="218"/>
      <c r="F574" s="218"/>
      <c r="G574" s="218"/>
      <c r="H574" s="218"/>
      <c r="I574" s="218"/>
      <c r="J574" s="218"/>
      <c r="K574" s="218"/>
      <c r="L574" s="218"/>
      <c r="M574" s="273"/>
    </row>
    <row r="575" spans="1:14" x14ac:dyDescent="0.2">
      <c r="A575" s="231"/>
      <c r="B575" s="9"/>
      <c r="C575" s="7"/>
      <c r="D575" s="17"/>
      <c r="E575" s="218"/>
      <c r="F575" s="218"/>
      <c r="G575" s="218"/>
      <c r="H575" s="218"/>
      <c r="I575" s="218"/>
      <c r="J575" s="218"/>
      <c r="K575" s="218"/>
      <c r="L575" s="218"/>
      <c r="M575" s="277"/>
    </row>
    <row r="576" spans="1:14" ht="15" x14ac:dyDescent="0.25">
      <c r="A576" s="285" t="s">
        <v>641</v>
      </c>
      <c r="B576" s="19" t="s">
        <v>355</v>
      </c>
      <c r="C576" s="286" t="s">
        <v>642</v>
      </c>
      <c r="D576" s="46" t="s">
        <v>17</v>
      </c>
      <c r="E576" s="47"/>
      <c r="F576" s="47"/>
      <c r="G576" s="47"/>
      <c r="H576" s="47"/>
      <c r="I576" s="47"/>
      <c r="J576" s="47"/>
      <c r="K576" s="47"/>
      <c r="L576" s="47"/>
      <c r="M576" s="272">
        <f>SUM(M577)</f>
        <v>8.6999999999999993</v>
      </c>
      <c r="N576" s="48"/>
    </row>
    <row r="577" spans="1:13" x14ac:dyDescent="0.2">
      <c r="A577" s="231"/>
      <c r="B577" s="9"/>
      <c r="C577" s="7" t="s">
        <v>643</v>
      </c>
      <c r="D577" s="17"/>
      <c r="E577" s="218"/>
      <c r="F577" s="218"/>
      <c r="G577" s="218"/>
      <c r="H577" s="218"/>
      <c r="I577" s="218"/>
      <c r="J577" s="218">
        <v>8.6999999999999993</v>
      </c>
      <c r="K577" s="218"/>
      <c r="L577" s="218"/>
      <c r="M577" s="273">
        <f>J577</f>
        <v>8.6999999999999993</v>
      </c>
    </row>
    <row r="578" spans="1:13" x14ac:dyDescent="0.2">
      <c r="A578" s="231"/>
      <c r="B578" s="9"/>
      <c r="C578" s="7"/>
      <c r="D578" s="17"/>
      <c r="E578" s="218"/>
      <c r="F578" s="218"/>
      <c r="G578" s="218"/>
      <c r="H578" s="218"/>
      <c r="I578" s="218"/>
      <c r="J578" s="218"/>
      <c r="K578" s="218"/>
      <c r="L578" s="218"/>
      <c r="M578" s="273"/>
    </row>
    <row r="579" spans="1:13" x14ac:dyDescent="0.2">
      <c r="A579" s="231"/>
      <c r="B579" s="9"/>
      <c r="C579" s="7"/>
      <c r="D579" s="17"/>
      <c r="E579" s="218"/>
      <c r="F579" s="218"/>
      <c r="G579" s="218"/>
      <c r="H579" s="218"/>
      <c r="I579" s="218"/>
      <c r="J579" s="218"/>
      <c r="K579" s="218"/>
      <c r="L579" s="218"/>
      <c r="M579" s="273"/>
    </row>
    <row r="580" spans="1:13" ht="72" x14ac:dyDescent="0.2">
      <c r="A580" s="231" t="s">
        <v>95</v>
      </c>
      <c r="B580" s="9" t="s">
        <v>356</v>
      </c>
      <c r="C580" s="7" t="s">
        <v>96</v>
      </c>
      <c r="D580" s="17" t="s">
        <v>17</v>
      </c>
      <c r="E580" s="218"/>
      <c r="F580" s="218"/>
      <c r="G580" s="218"/>
      <c r="H580" s="218"/>
      <c r="I580" s="218"/>
      <c r="J580" s="218"/>
      <c r="K580" s="218"/>
      <c r="L580" s="218"/>
      <c r="M580" s="272">
        <f>SUM(M582:M593)</f>
        <v>65.59</v>
      </c>
    </row>
    <row r="581" spans="1:13" x14ac:dyDescent="0.2">
      <c r="A581" s="231"/>
      <c r="B581" s="9"/>
      <c r="C581" s="7" t="s">
        <v>436</v>
      </c>
      <c r="D581" s="17"/>
      <c r="E581" s="218"/>
      <c r="F581" s="218"/>
      <c r="G581" s="218"/>
      <c r="H581" s="218"/>
      <c r="I581" s="218"/>
      <c r="J581" s="218"/>
      <c r="K581" s="218"/>
      <c r="L581" s="218"/>
      <c r="M581" s="277"/>
    </row>
    <row r="582" spans="1:13" x14ac:dyDescent="0.2">
      <c r="A582" s="231"/>
      <c r="B582" s="9"/>
      <c r="C582" s="7" t="s">
        <v>437</v>
      </c>
      <c r="D582" s="17"/>
      <c r="E582" s="218"/>
      <c r="F582" s="218"/>
      <c r="G582" s="218"/>
      <c r="H582" s="218"/>
      <c r="I582" s="218"/>
      <c r="J582" s="218">
        <v>2.96</v>
      </c>
      <c r="K582" s="218"/>
      <c r="L582" s="218"/>
      <c r="M582" s="281">
        <f>J582</f>
        <v>2.96</v>
      </c>
    </row>
    <row r="583" spans="1:13" x14ac:dyDescent="0.2">
      <c r="A583" s="231"/>
      <c r="B583" s="9"/>
      <c r="C583" s="7" t="s">
        <v>438</v>
      </c>
      <c r="D583" s="17"/>
      <c r="E583" s="218"/>
      <c r="F583" s="218"/>
      <c r="G583" s="218"/>
      <c r="H583" s="218"/>
      <c r="I583" s="218"/>
      <c r="J583" s="218">
        <v>2.29</v>
      </c>
      <c r="K583" s="218"/>
      <c r="L583" s="218"/>
      <c r="M583" s="281">
        <f>J583</f>
        <v>2.29</v>
      </c>
    </row>
    <row r="584" spans="1:13" x14ac:dyDescent="0.2">
      <c r="A584" s="231"/>
      <c r="B584" s="9"/>
      <c r="C584" s="7" t="s">
        <v>428</v>
      </c>
      <c r="D584" s="17"/>
      <c r="E584" s="218"/>
      <c r="F584" s="218"/>
      <c r="G584" s="218"/>
      <c r="H584" s="218"/>
      <c r="I584" s="218"/>
      <c r="J584" s="218">
        <v>3.05</v>
      </c>
      <c r="K584" s="218"/>
      <c r="L584" s="218"/>
      <c r="M584" s="281">
        <f>J584</f>
        <v>3.05</v>
      </c>
    </row>
    <row r="585" spans="1:13" x14ac:dyDescent="0.2">
      <c r="A585" s="231"/>
      <c r="B585" s="9"/>
      <c r="C585" s="7"/>
      <c r="D585" s="17"/>
      <c r="E585" s="218"/>
      <c r="F585" s="218"/>
      <c r="G585" s="218"/>
      <c r="H585" s="218"/>
      <c r="I585" s="218"/>
      <c r="J585" s="218"/>
      <c r="K585" s="218"/>
      <c r="L585" s="218"/>
      <c r="M585" s="277"/>
    </row>
    <row r="586" spans="1:13" x14ac:dyDescent="0.2">
      <c r="A586" s="231"/>
      <c r="B586" s="9"/>
      <c r="C586" s="7" t="s">
        <v>439</v>
      </c>
      <c r="D586" s="17"/>
      <c r="E586" s="218"/>
      <c r="F586" s="218"/>
      <c r="G586" s="218"/>
      <c r="H586" s="218"/>
      <c r="I586" s="218"/>
      <c r="J586" s="218"/>
      <c r="K586" s="218"/>
      <c r="L586" s="218"/>
      <c r="M586" s="277"/>
    </row>
    <row r="587" spans="1:13" x14ac:dyDescent="0.2">
      <c r="A587" s="231"/>
      <c r="B587" s="9"/>
      <c r="C587" s="7" t="s">
        <v>164</v>
      </c>
      <c r="D587" s="17"/>
      <c r="E587" s="218"/>
      <c r="F587" s="218"/>
      <c r="G587" s="218"/>
      <c r="H587" s="218"/>
      <c r="I587" s="218"/>
      <c r="J587" s="218">
        <v>17.13</v>
      </c>
      <c r="K587" s="218"/>
      <c r="L587" s="218"/>
      <c r="M587" s="281">
        <f>J587</f>
        <v>17.13</v>
      </c>
    </row>
    <row r="588" spans="1:13" x14ac:dyDescent="0.2">
      <c r="A588" s="231"/>
      <c r="B588" s="9"/>
      <c r="C588" s="7" t="s">
        <v>163</v>
      </c>
      <c r="D588" s="17"/>
      <c r="E588" s="218"/>
      <c r="F588" s="218"/>
      <c r="G588" s="218"/>
      <c r="H588" s="218"/>
      <c r="I588" s="218"/>
      <c r="J588" s="218">
        <v>15.22</v>
      </c>
      <c r="K588" s="218"/>
      <c r="L588" s="218"/>
      <c r="M588" s="281">
        <f>J588</f>
        <v>15.22</v>
      </c>
    </row>
    <row r="589" spans="1:13" x14ac:dyDescent="0.2">
      <c r="A589" s="231"/>
      <c r="B589" s="9"/>
      <c r="C589" s="7"/>
      <c r="D589" s="17"/>
      <c r="E589" s="218"/>
      <c r="F589" s="218"/>
      <c r="G589" s="218"/>
      <c r="H589" s="218"/>
      <c r="I589" s="218"/>
      <c r="J589" s="218"/>
      <c r="K589" s="218"/>
      <c r="L589" s="218"/>
      <c r="M589" s="277"/>
    </row>
    <row r="590" spans="1:13" x14ac:dyDescent="0.2">
      <c r="A590" s="231"/>
      <c r="B590" s="9"/>
      <c r="C590" s="7" t="s">
        <v>440</v>
      </c>
      <c r="D590" s="17"/>
      <c r="E590" s="218"/>
      <c r="F590" s="218"/>
      <c r="G590" s="218"/>
      <c r="H590" s="218"/>
      <c r="I590" s="218"/>
      <c r="J590" s="218"/>
      <c r="K590" s="218"/>
      <c r="L590" s="218"/>
      <c r="M590" s="277"/>
    </row>
    <row r="591" spans="1:13" x14ac:dyDescent="0.2">
      <c r="A591" s="231"/>
      <c r="B591" s="9"/>
      <c r="C591" s="7" t="s">
        <v>394</v>
      </c>
      <c r="D591" s="17"/>
      <c r="E591" s="218"/>
      <c r="F591" s="218"/>
      <c r="G591" s="218"/>
      <c r="H591" s="218"/>
      <c r="I591" s="218"/>
      <c r="J591" s="218">
        <v>2.33</v>
      </c>
      <c r="K591" s="218"/>
      <c r="L591" s="218"/>
      <c r="M591" s="281">
        <f>J591</f>
        <v>2.33</v>
      </c>
    </row>
    <row r="592" spans="1:13" x14ac:dyDescent="0.2">
      <c r="A592" s="231"/>
      <c r="B592" s="9"/>
      <c r="C592" s="7" t="s">
        <v>171</v>
      </c>
      <c r="D592" s="17"/>
      <c r="E592" s="218"/>
      <c r="F592" s="218"/>
      <c r="G592" s="218"/>
      <c r="H592" s="218"/>
      <c r="I592" s="218"/>
      <c r="J592" s="218">
        <v>12.07</v>
      </c>
      <c r="K592" s="218"/>
      <c r="L592" s="218"/>
      <c r="M592" s="281">
        <f>J592</f>
        <v>12.07</v>
      </c>
    </row>
    <row r="593" spans="1:13" x14ac:dyDescent="0.2">
      <c r="A593" s="231"/>
      <c r="B593" s="9"/>
      <c r="C593" s="7" t="s">
        <v>441</v>
      </c>
      <c r="D593" s="17"/>
      <c r="E593" s="218">
        <v>2</v>
      </c>
      <c r="F593" s="218"/>
      <c r="G593" s="218"/>
      <c r="H593" s="218"/>
      <c r="I593" s="218"/>
      <c r="J593" s="218">
        <v>5.27</v>
      </c>
      <c r="K593" s="218"/>
      <c r="L593" s="218"/>
      <c r="M593" s="281">
        <f>2*J593</f>
        <v>10.54</v>
      </c>
    </row>
    <row r="594" spans="1:13" x14ac:dyDescent="0.2">
      <c r="A594" s="231"/>
      <c r="B594" s="9"/>
      <c r="C594" s="7"/>
      <c r="D594" s="17"/>
      <c r="E594" s="218"/>
      <c r="F594" s="218"/>
      <c r="G594" s="218"/>
      <c r="H594" s="218"/>
      <c r="I594" s="218"/>
      <c r="J594" s="218"/>
      <c r="K594" s="218"/>
      <c r="L594" s="218"/>
      <c r="M594" s="281"/>
    </row>
    <row r="595" spans="1:13" x14ac:dyDescent="0.2">
      <c r="A595" s="231"/>
      <c r="B595" s="9"/>
      <c r="C595" s="7"/>
      <c r="D595" s="17"/>
      <c r="E595" s="218"/>
      <c r="F595" s="218"/>
      <c r="G595" s="218"/>
      <c r="H595" s="218"/>
      <c r="I595" s="218"/>
      <c r="J595" s="218"/>
      <c r="K595" s="218"/>
      <c r="L595" s="218"/>
      <c r="M595" s="277"/>
    </row>
    <row r="596" spans="1:13" ht="60" x14ac:dyDescent="0.2">
      <c r="A596" s="236" t="s">
        <v>430</v>
      </c>
      <c r="B596" s="344" t="s">
        <v>706</v>
      </c>
      <c r="C596" s="345" t="s">
        <v>431</v>
      </c>
      <c r="D596" s="348" t="s">
        <v>17</v>
      </c>
      <c r="E596" s="347"/>
      <c r="F596" s="347"/>
      <c r="G596" s="347"/>
      <c r="H596" s="347"/>
      <c r="I596" s="347"/>
      <c r="J596" s="347"/>
      <c r="K596" s="347"/>
      <c r="L596" s="347"/>
      <c r="M596" s="349">
        <f>SUM(M598:M601)</f>
        <v>102.32</v>
      </c>
    </row>
    <row r="597" spans="1:13" x14ac:dyDescent="0.2">
      <c r="A597" s="231"/>
      <c r="B597" s="9"/>
      <c r="C597" s="7" t="s">
        <v>535</v>
      </c>
      <c r="D597" s="17"/>
      <c r="E597" s="218"/>
      <c r="F597" s="218"/>
      <c r="G597" s="218"/>
      <c r="H597" s="218"/>
      <c r="I597" s="218"/>
      <c r="J597" s="218"/>
      <c r="K597" s="218"/>
      <c r="L597" s="218"/>
      <c r="M597" s="277"/>
    </row>
    <row r="598" spans="1:13" x14ac:dyDescent="0.2">
      <c r="A598" s="231"/>
      <c r="B598" s="9"/>
      <c r="C598" s="7" t="s">
        <v>158</v>
      </c>
      <c r="D598" s="17"/>
      <c r="E598" s="218"/>
      <c r="F598" s="218"/>
      <c r="G598" s="218"/>
      <c r="H598" s="218"/>
      <c r="I598" s="218"/>
      <c r="J598" s="218">
        <v>21.35</v>
      </c>
      <c r="K598" s="218"/>
      <c r="L598" s="218"/>
      <c r="M598" s="281">
        <v>21.35</v>
      </c>
    </row>
    <row r="599" spans="1:13" x14ac:dyDescent="0.2">
      <c r="A599" s="231"/>
      <c r="B599" s="9"/>
      <c r="C599" s="7" t="s">
        <v>159</v>
      </c>
      <c r="D599" s="17"/>
      <c r="E599" s="218"/>
      <c r="F599" s="218"/>
      <c r="G599" s="218"/>
      <c r="H599" s="218"/>
      <c r="I599" s="218"/>
      <c r="J599" s="218">
        <v>20.11</v>
      </c>
      <c r="K599" s="218"/>
      <c r="L599" s="218"/>
      <c r="M599" s="281">
        <v>20.11</v>
      </c>
    </row>
    <row r="600" spans="1:13" x14ac:dyDescent="0.2">
      <c r="A600" s="231"/>
      <c r="B600" s="9"/>
      <c r="C600" s="7" t="s">
        <v>160</v>
      </c>
      <c r="D600" s="17"/>
      <c r="E600" s="218"/>
      <c r="F600" s="218"/>
      <c r="G600" s="218"/>
      <c r="H600" s="218"/>
      <c r="I600" s="218"/>
      <c r="J600" s="218">
        <v>3.79</v>
      </c>
      <c r="K600" s="218"/>
      <c r="L600" s="218"/>
      <c r="M600" s="281">
        <v>3.79</v>
      </c>
    </row>
    <row r="601" spans="1:13" x14ac:dyDescent="0.2">
      <c r="A601" s="231"/>
      <c r="B601" s="9"/>
      <c r="C601" s="7" t="s">
        <v>209</v>
      </c>
      <c r="D601" s="17"/>
      <c r="E601" s="218"/>
      <c r="F601" s="218"/>
      <c r="G601" s="218"/>
      <c r="H601" s="218"/>
      <c r="I601" s="218"/>
      <c r="J601" s="218">
        <v>57.07</v>
      </c>
      <c r="K601" s="218"/>
      <c r="L601" s="218"/>
      <c r="M601" s="281">
        <v>57.07</v>
      </c>
    </row>
    <row r="602" spans="1:13" x14ac:dyDescent="0.2">
      <c r="A602" s="231"/>
      <c r="B602" s="9"/>
      <c r="C602" s="7"/>
      <c r="D602" s="17"/>
      <c r="E602" s="218"/>
      <c r="F602" s="218"/>
      <c r="G602" s="218"/>
      <c r="H602" s="218"/>
      <c r="I602" s="218"/>
      <c r="J602" s="218"/>
      <c r="K602" s="218"/>
      <c r="L602" s="218"/>
      <c r="M602" s="281"/>
    </row>
    <row r="603" spans="1:13" x14ac:dyDescent="0.2">
      <c r="A603" s="231"/>
      <c r="B603" s="9"/>
      <c r="C603" s="7"/>
      <c r="D603" s="17"/>
      <c r="E603" s="218"/>
      <c r="F603" s="218"/>
      <c r="G603" s="218"/>
      <c r="H603" s="218"/>
      <c r="I603" s="218"/>
      <c r="J603" s="218"/>
      <c r="K603" s="218"/>
      <c r="L603" s="218"/>
      <c r="M603" s="273"/>
    </row>
    <row r="604" spans="1:13" ht="24" x14ac:dyDescent="0.2">
      <c r="A604" s="231" t="s">
        <v>97</v>
      </c>
      <c r="B604" s="9" t="s">
        <v>357</v>
      </c>
      <c r="C604" s="7" t="s">
        <v>98</v>
      </c>
      <c r="D604" s="17" t="s">
        <v>45</v>
      </c>
      <c r="E604" s="218"/>
      <c r="F604" s="218"/>
      <c r="G604" s="218"/>
      <c r="H604" s="218"/>
      <c r="I604" s="218"/>
      <c r="J604" s="218"/>
      <c r="K604" s="218"/>
      <c r="L604" s="218"/>
      <c r="M604" s="272">
        <f>SUM(M605:M610)</f>
        <v>43.35</v>
      </c>
    </row>
    <row r="605" spans="1:13" x14ac:dyDescent="0.2">
      <c r="A605" s="231"/>
      <c r="B605" s="9"/>
      <c r="C605" s="7" t="s">
        <v>439</v>
      </c>
      <c r="D605" s="17"/>
      <c r="E605" s="218"/>
      <c r="F605" s="218"/>
      <c r="G605" s="218"/>
      <c r="H605" s="218"/>
      <c r="I605" s="218"/>
      <c r="J605" s="218"/>
      <c r="K605" s="218"/>
      <c r="L605" s="218"/>
      <c r="M605" s="277"/>
    </row>
    <row r="606" spans="1:13" x14ac:dyDescent="0.2">
      <c r="A606" s="231"/>
      <c r="B606" s="9"/>
      <c r="C606" s="7" t="s">
        <v>164</v>
      </c>
      <c r="D606" s="17"/>
      <c r="E606" s="218"/>
      <c r="F606" s="218"/>
      <c r="G606" s="218">
        <v>16.18</v>
      </c>
      <c r="H606" s="218"/>
      <c r="I606" s="218"/>
      <c r="J606" s="218"/>
      <c r="K606" s="218"/>
      <c r="L606" s="218"/>
      <c r="M606" s="281">
        <f>G606</f>
        <v>16.18</v>
      </c>
    </row>
    <row r="607" spans="1:13" x14ac:dyDescent="0.2">
      <c r="A607" s="231"/>
      <c r="B607" s="9"/>
      <c r="C607" s="7" t="s">
        <v>163</v>
      </c>
      <c r="D607" s="17"/>
      <c r="E607" s="218"/>
      <c r="F607" s="218"/>
      <c r="G607" s="218">
        <v>14.48</v>
      </c>
      <c r="H607" s="218"/>
      <c r="I607" s="218"/>
      <c r="J607" s="218"/>
      <c r="K607" s="218"/>
      <c r="L607" s="218"/>
      <c r="M607" s="281">
        <f>G607</f>
        <v>14.48</v>
      </c>
    </row>
    <row r="608" spans="1:13" x14ac:dyDescent="0.2">
      <c r="A608" s="231"/>
      <c r="B608" s="9"/>
      <c r="C608" s="7"/>
      <c r="D608" s="17"/>
      <c r="E608" s="218"/>
      <c r="F608" s="218"/>
      <c r="G608" s="218"/>
      <c r="H608" s="218"/>
      <c r="I608" s="218"/>
      <c r="J608" s="218"/>
      <c r="K608" s="218"/>
      <c r="L608" s="218"/>
      <c r="M608" s="277"/>
    </row>
    <row r="609" spans="1:13" x14ac:dyDescent="0.2">
      <c r="A609" s="231"/>
      <c r="B609" s="9"/>
      <c r="C609" s="7" t="s">
        <v>440</v>
      </c>
      <c r="D609" s="17"/>
      <c r="E609" s="218"/>
      <c r="F609" s="218"/>
      <c r="G609" s="218"/>
      <c r="H609" s="218"/>
      <c r="I609" s="218"/>
      <c r="J609" s="218"/>
      <c r="K609" s="218"/>
      <c r="L609" s="218"/>
      <c r="M609" s="277"/>
    </row>
    <row r="610" spans="1:13" x14ac:dyDescent="0.2">
      <c r="A610" s="231"/>
      <c r="B610" s="9"/>
      <c r="C610" s="7" t="s">
        <v>171</v>
      </c>
      <c r="D610" s="17"/>
      <c r="E610" s="218"/>
      <c r="F610" s="218"/>
      <c r="G610" s="218">
        <v>12.69</v>
      </c>
      <c r="H610" s="218"/>
      <c r="I610" s="218"/>
      <c r="J610" s="218"/>
      <c r="K610" s="218"/>
      <c r="L610" s="218"/>
      <c r="M610" s="281">
        <f>G610</f>
        <v>12.69</v>
      </c>
    </row>
    <row r="611" spans="1:13" x14ac:dyDescent="0.2">
      <c r="A611" s="231"/>
      <c r="B611" s="9"/>
      <c r="C611" s="7"/>
      <c r="D611" s="17"/>
      <c r="E611" s="218"/>
      <c r="F611" s="218"/>
      <c r="G611" s="218"/>
      <c r="H611" s="218"/>
      <c r="I611" s="218"/>
      <c r="J611" s="218"/>
      <c r="K611" s="218"/>
      <c r="L611" s="218"/>
      <c r="M611" s="277"/>
    </row>
    <row r="612" spans="1:13" x14ac:dyDescent="0.2">
      <c r="A612" s="231"/>
      <c r="B612" s="9"/>
      <c r="C612" s="7"/>
      <c r="D612" s="17"/>
      <c r="E612" s="218"/>
      <c r="F612" s="218"/>
      <c r="G612" s="218"/>
      <c r="H612" s="218"/>
      <c r="I612" s="218"/>
      <c r="J612" s="218"/>
      <c r="K612" s="218"/>
      <c r="L612" s="218"/>
      <c r="M612" s="277"/>
    </row>
    <row r="613" spans="1:13" ht="36" x14ac:dyDescent="0.2">
      <c r="A613" s="231" t="s">
        <v>432</v>
      </c>
      <c r="B613" s="9" t="s">
        <v>358</v>
      </c>
      <c r="C613" s="7" t="s">
        <v>433</v>
      </c>
      <c r="D613" s="17" t="s">
        <v>45</v>
      </c>
      <c r="E613" s="218"/>
      <c r="F613" s="218"/>
      <c r="G613" s="218"/>
      <c r="H613" s="218"/>
      <c r="I613" s="218"/>
      <c r="J613" s="218"/>
      <c r="K613" s="218"/>
      <c r="L613" s="218"/>
      <c r="M613" s="272">
        <f>SUM(M615:M617)</f>
        <v>35.5</v>
      </c>
    </row>
    <row r="614" spans="1:13" x14ac:dyDescent="0.2">
      <c r="A614" s="287"/>
      <c r="B614" s="9"/>
      <c r="C614" s="7" t="s">
        <v>151</v>
      </c>
      <c r="D614" s="17"/>
      <c r="E614" s="218"/>
      <c r="F614" s="218"/>
      <c r="G614" s="218"/>
      <c r="H614" s="218"/>
      <c r="I614" s="218"/>
      <c r="J614" s="218"/>
      <c r="K614" s="218"/>
      <c r="L614" s="218"/>
      <c r="M614" s="277"/>
    </row>
    <row r="615" spans="1:13" x14ac:dyDescent="0.2">
      <c r="A615" s="288"/>
      <c r="B615" s="9"/>
      <c r="C615" s="7" t="s">
        <v>158</v>
      </c>
      <c r="D615" s="17"/>
      <c r="E615" s="218"/>
      <c r="F615" s="218"/>
      <c r="G615" s="218">
        <v>17.21</v>
      </c>
      <c r="H615" s="218"/>
      <c r="I615" s="218"/>
      <c r="J615" s="218"/>
      <c r="K615" s="218"/>
      <c r="L615" s="218"/>
      <c r="M615" s="281">
        <f>G615</f>
        <v>17.21</v>
      </c>
    </row>
    <row r="616" spans="1:13" x14ac:dyDescent="0.2">
      <c r="A616" s="231"/>
      <c r="B616" s="9"/>
      <c r="C616" s="7" t="s">
        <v>159</v>
      </c>
      <c r="D616" s="17"/>
      <c r="E616" s="218"/>
      <c r="F616" s="218"/>
      <c r="G616" s="218">
        <v>14.69</v>
      </c>
      <c r="H616" s="218"/>
      <c r="I616" s="218"/>
      <c r="J616" s="218"/>
      <c r="K616" s="218"/>
      <c r="L616" s="218"/>
      <c r="M616" s="281">
        <f>G616</f>
        <v>14.69</v>
      </c>
    </row>
    <row r="617" spans="1:13" x14ac:dyDescent="0.2">
      <c r="A617" s="231"/>
      <c r="B617" s="9"/>
      <c r="C617" s="7" t="s">
        <v>160</v>
      </c>
      <c r="D617" s="17"/>
      <c r="E617" s="218"/>
      <c r="F617" s="218"/>
      <c r="G617" s="218">
        <v>3.6</v>
      </c>
      <c r="H617" s="218"/>
      <c r="I617" s="218"/>
      <c r="J617" s="218"/>
      <c r="K617" s="218"/>
      <c r="L617" s="218"/>
      <c r="M617" s="281">
        <f>G617</f>
        <v>3.6</v>
      </c>
    </row>
    <row r="618" spans="1:13" x14ac:dyDescent="0.2">
      <c r="A618" s="231"/>
      <c r="B618" s="9"/>
      <c r="C618" s="7"/>
      <c r="D618" s="17"/>
      <c r="E618" s="218"/>
      <c r="F618" s="218"/>
      <c r="G618" s="218"/>
      <c r="H618" s="218"/>
      <c r="I618" s="218"/>
      <c r="J618" s="218"/>
      <c r="K618" s="218"/>
      <c r="L618" s="218"/>
      <c r="M618" s="281"/>
    </row>
    <row r="619" spans="1:13" x14ac:dyDescent="0.2">
      <c r="A619" s="231"/>
      <c r="B619" s="9"/>
      <c r="C619" s="7"/>
      <c r="D619" s="17"/>
      <c r="E619" s="218"/>
      <c r="F619" s="218"/>
      <c r="G619" s="218"/>
      <c r="H619" s="218"/>
      <c r="I619" s="218"/>
      <c r="J619" s="218"/>
      <c r="K619" s="218"/>
      <c r="L619" s="218"/>
      <c r="M619" s="281"/>
    </row>
    <row r="620" spans="1:13" ht="36" x14ac:dyDescent="0.2">
      <c r="A620" s="231" t="s">
        <v>728</v>
      </c>
      <c r="B620" s="9" t="s">
        <v>707</v>
      </c>
      <c r="C620" s="7" t="s">
        <v>729</v>
      </c>
      <c r="D620" s="17" t="s">
        <v>45</v>
      </c>
      <c r="E620" s="218"/>
      <c r="F620" s="218"/>
      <c r="G620" s="218"/>
      <c r="H620" s="218"/>
      <c r="I620" s="218"/>
      <c r="J620" s="218"/>
      <c r="K620" s="218"/>
      <c r="L620" s="218"/>
      <c r="M620" s="272">
        <f>SUM(M621,M624,M627,M630)</f>
        <v>46.8</v>
      </c>
    </row>
    <row r="621" spans="1:13" x14ac:dyDescent="0.2">
      <c r="A621" s="287"/>
      <c r="B621" s="9"/>
      <c r="C621" s="7" t="s">
        <v>721</v>
      </c>
      <c r="D621" s="17"/>
      <c r="E621" s="218"/>
      <c r="F621" s="218"/>
      <c r="G621" s="218"/>
      <c r="H621" s="218"/>
      <c r="I621" s="218"/>
      <c r="J621" s="218"/>
      <c r="K621" s="218"/>
      <c r="L621" s="218"/>
      <c r="M621" s="277">
        <f>SUM(M622)</f>
        <v>18.100000000000001</v>
      </c>
    </row>
    <row r="622" spans="1:13" x14ac:dyDescent="0.2">
      <c r="A622" s="288"/>
      <c r="B622" s="9"/>
      <c r="C622" s="7" t="s">
        <v>720</v>
      </c>
      <c r="D622" s="17"/>
      <c r="E622" s="218"/>
      <c r="F622" s="218"/>
      <c r="G622" s="218">
        <v>18.100000000000001</v>
      </c>
      <c r="H622" s="218"/>
      <c r="I622" s="218"/>
      <c r="J622" s="218"/>
      <c r="K622" s="218"/>
      <c r="L622" s="218"/>
      <c r="M622" s="281">
        <f>G622</f>
        <v>18.100000000000001</v>
      </c>
    </row>
    <row r="623" spans="1:13" x14ac:dyDescent="0.2">
      <c r="A623" s="231"/>
      <c r="B623" s="9"/>
      <c r="C623" s="7"/>
      <c r="D623" s="17"/>
      <c r="E623" s="218"/>
      <c r="F623" s="218"/>
      <c r="G623" s="218"/>
      <c r="H623" s="218"/>
      <c r="I623" s="218"/>
      <c r="J623" s="218"/>
      <c r="K623" s="218"/>
      <c r="L623" s="218"/>
      <c r="M623" s="281"/>
    </row>
    <row r="624" spans="1:13" x14ac:dyDescent="0.2">
      <c r="A624" s="231"/>
      <c r="B624" s="9"/>
      <c r="C624" s="7" t="s">
        <v>436</v>
      </c>
      <c r="D624" s="17"/>
      <c r="E624" s="218"/>
      <c r="F624" s="218"/>
      <c r="G624" s="218"/>
      <c r="H624" s="218"/>
      <c r="I624" s="218"/>
      <c r="J624" s="218"/>
      <c r="K624" s="218"/>
      <c r="L624" s="218"/>
      <c r="M624" s="277">
        <f>SUM(M625)</f>
        <v>3.2</v>
      </c>
    </row>
    <row r="625" spans="1:13" x14ac:dyDescent="0.2">
      <c r="A625" s="231"/>
      <c r="B625" s="9"/>
      <c r="C625" s="7" t="s">
        <v>389</v>
      </c>
      <c r="D625" s="17"/>
      <c r="E625" s="218"/>
      <c r="F625" s="218"/>
      <c r="G625" s="218">
        <v>3.2</v>
      </c>
      <c r="H625" s="218"/>
      <c r="I625" s="218"/>
      <c r="J625" s="218"/>
      <c r="K625" s="218"/>
      <c r="L625" s="218"/>
      <c r="M625" s="281">
        <f>G625</f>
        <v>3.2</v>
      </c>
    </row>
    <row r="626" spans="1:13" x14ac:dyDescent="0.2">
      <c r="A626" s="231"/>
      <c r="B626" s="9"/>
      <c r="C626" s="7"/>
      <c r="D626" s="17"/>
      <c r="E626" s="218"/>
      <c r="F626" s="218"/>
      <c r="G626" s="218"/>
      <c r="H626" s="218"/>
      <c r="I626" s="218"/>
      <c r="J626" s="218"/>
      <c r="K626" s="218"/>
      <c r="L626" s="218"/>
      <c r="M626" s="281"/>
    </row>
    <row r="627" spans="1:13" x14ac:dyDescent="0.2">
      <c r="A627" s="231"/>
      <c r="B627" s="9"/>
      <c r="C627" s="7" t="s">
        <v>439</v>
      </c>
      <c r="D627" s="17"/>
      <c r="E627" s="218"/>
      <c r="F627" s="218"/>
      <c r="G627" s="218"/>
      <c r="H627" s="218"/>
      <c r="I627" s="218"/>
      <c r="J627" s="218"/>
      <c r="K627" s="218"/>
      <c r="L627" s="218"/>
      <c r="M627" s="277">
        <f>SUM(M628)</f>
        <v>13</v>
      </c>
    </row>
    <row r="628" spans="1:13" x14ac:dyDescent="0.2">
      <c r="A628" s="231"/>
      <c r="B628" s="9"/>
      <c r="C628" s="7" t="s">
        <v>203</v>
      </c>
      <c r="D628" s="17"/>
      <c r="E628" s="218"/>
      <c r="F628" s="218"/>
      <c r="G628" s="218">
        <v>13</v>
      </c>
      <c r="H628" s="218"/>
      <c r="I628" s="218"/>
      <c r="J628" s="218"/>
      <c r="K628" s="218"/>
      <c r="L628" s="218"/>
      <c r="M628" s="281">
        <f>G628</f>
        <v>13</v>
      </c>
    </row>
    <row r="629" spans="1:13" x14ac:dyDescent="0.2">
      <c r="A629" s="231"/>
      <c r="B629" s="9"/>
      <c r="C629" s="7"/>
      <c r="D629" s="17"/>
      <c r="E629" s="218"/>
      <c r="F629" s="218"/>
      <c r="G629" s="218"/>
      <c r="H629" s="218"/>
      <c r="I629" s="218"/>
      <c r="J629" s="218"/>
      <c r="K629" s="218"/>
      <c r="L629" s="218"/>
      <c r="M629" s="281"/>
    </row>
    <row r="630" spans="1:13" x14ac:dyDescent="0.2">
      <c r="A630" s="231"/>
      <c r="B630" s="9"/>
      <c r="C630" s="7" t="s">
        <v>440</v>
      </c>
      <c r="D630" s="17"/>
      <c r="E630" s="218"/>
      <c r="F630" s="218"/>
      <c r="G630" s="218"/>
      <c r="H630" s="218"/>
      <c r="I630" s="218"/>
      <c r="J630" s="218"/>
      <c r="K630" s="218"/>
      <c r="L630" s="218"/>
      <c r="M630" s="277">
        <f>SUM(M631:M632)</f>
        <v>12.5</v>
      </c>
    </row>
    <row r="631" spans="1:13" x14ac:dyDescent="0.2">
      <c r="A631" s="231"/>
      <c r="B631" s="9"/>
      <c r="C631" s="7" t="s">
        <v>727</v>
      </c>
      <c r="D631" s="17"/>
      <c r="E631" s="218"/>
      <c r="F631" s="218"/>
      <c r="G631" s="218">
        <v>5</v>
      </c>
      <c r="H631" s="218"/>
      <c r="I631" s="218"/>
      <c r="J631" s="218"/>
      <c r="K631" s="218"/>
      <c r="L631" s="218"/>
      <c r="M631" s="281">
        <f>G631</f>
        <v>5</v>
      </c>
    </row>
    <row r="632" spans="1:13" x14ac:dyDescent="0.2">
      <c r="A632" s="231"/>
      <c r="B632" s="9"/>
      <c r="C632" s="7" t="s">
        <v>722</v>
      </c>
      <c r="D632" s="17"/>
      <c r="E632" s="218"/>
      <c r="F632" s="218"/>
      <c r="G632" s="218">
        <v>7.5</v>
      </c>
      <c r="H632" s="218"/>
      <c r="I632" s="218"/>
      <c r="J632" s="218"/>
      <c r="K632" s="218"/>
      <c r="L632" s="218"/>
      <c r="M632" s="281">
        <f>G632</f>
        <v>7.5</v>
      </c>
    </row>
    <row r="633" spans="1:13" x14ac:dyDescent="0.2">
      <c r="A633" s="231"/>
      <c r="B633" s="9"/>
      <c r="C633" s="7"/>
      <c r="D633" s="17"/>
      <c r="E633" s="218"/>
      <c r="F633" s="218"/>
      <c r="G633" s="218"/>
      <c r="H633" s="218"/>
      <c r="I633" s="218"/>
      <c r="J633" s="218"/>
      <c r="K633" s="218"/>
      <c r="L633" s="218"/>
      <c r="M633" s="281"/>
    </row>
    <row r="634" spans="1:13" x14ac:dyDescent="0.2">
      <c r="A634" s="231"/>
      <c r="B634" s="9"/>
      <c r="C634" s="7"/>
      <c r="D634" s="17"/>
      <c r="E634" s="218"/>
      <c r="F634" s="218"/>
      <c r="G634" s="218"/>
      <c r="H634" s="218"/>
      <c r="I634" s="218"/>
      <c r="J634" s="218"/>
      <c r="K634" s="218"/>
      <c r="L634" s="218"/>
      <c r="M634" s="273"/>
    </row>
    <row r="635" spans="1:13" ht="48" x14ac:dyDescent="0.2">
      <c r="A635" s="231" t="s">
        <v>99</v>
      </c>
      <c r="B635" s="9" t="s">
        <v>359</v>
      </c>
      <c r="C635" s="7" t="s">
        <v>100</v>
      </c>
      <c r="D635" s="17" t="s">
        <v>45</v>
      </c>
      <c r="E635" s="218"/>
      <c r="F635" s="218"/>
      <c r="G635" s="218"/>
      <c r="H635" s="218"/>
      <c r="I635" s="218"/>
      <c r="J635" s="218"/>
      <c r="K635" s="218"/>
      <c r="L635" s="218"/>
      <c r="M635" s="272">
        <f>SUM(M636,M639,M642,M645)</f>
        <v>62.7</v>
      </c>
    </row>
    <row r="636" spans="1:13" x14ac:dyDescent="0.2">
      <c r="A636" s="231"/>
      <c r="B636" s="9"/>
      <c r="C636" s="7" t="s">
        <v>150</v>
      </c>
      <c r="D636" s="17"/>
      <c r="E636" s="218"/>
      <c r="F636" s="218"/>
      <c r="G636" s="218"/>
      <c r="H636" s="218"/>
      <c r="I636" s="218"/>
      <c r="J636" s="218"/>
      <c r="K636" s="218"/>
      <c r="L636" s="218"/>
      <c r="M636" s="277">
        <f>SUM(M637)</f>
        <v>7.3</v>
      </c>
    </row>
    <row r="637" spans="1:13" x14ac:dyDescent="0.2">
      <c r="A637" s="231"/>
      <c r="B637" s="9"/>
      <c r="C637" s="7" t="s">
        <v>698</v>
      </c>
      <c r="D637" s="17"/>
      <c r="E637" s="218"/>
      <c r="F637" s="218"/>
      <c r="G637" s="218">
        <v>7.3</v>
      </c>
      <c r="H637" s="218"/>
      <c r="I637" s="218"/>
      <c r="J637" s="218"/>
      <c r="K637" s="218"/>
      <c r="L637" s="218"/>
      <c r="M637" s="281">
        <f>G637</f>
        <v>7.3</v>
      </c>
    </row>
    <row r="638" spans="1:13" x14ac:dyDescent="0.2">
      <c r="A638" s="231"/>
      <c r="B638" s="9"/>
      <c r="C638" s="7"/>
      <c r="D638" s="17"/>
      <c r="E638" s="218"/>
      <c r="F638" s="218"/>
      <c r="G638" s="218"/>
      <c r="H638" s="218"/>
      <c r="I638" s="218"/>
      <c r="J638" s="218"/>
      <c r="K638" s="218"/>
      <c r="L638" s="218"/>
      <c r="M638" s="277"/>
    </row>
    <row r="639" spans="1:13" x14ac:dyDescent="0.2">
      <c r="A639" s="231"/>
      <c r="B639" s="9"/>
      <c r="C639" s="7" t="s">
        <v>151</v>
      </c>
      <c r="D639" s="17"/>
      <c r="E639" s="218"/>
      <c r="F639" s="218"/>
      <c r="G639" s="218"/>
      <c r="H639" s="218"/>
      <c r="I639" s="218"/>
      <c r="J639" s="218"/>
      <c r="K639" s="218"/>
      <c r="L639" s="218"/>
      <c r="M639" s="277">
        <f>SUM(M640)</f>
        <v>14.25</v>
      </c>
    </row>
    <row r="640" spans="1:13" ht="24" x14ac:dyDescent="0.2">
      <c r="A640" s="231"/>
      <c r="B640" s="9"/>
      <c r="C640" s="7" t="s">
        <v>699</v>
      </c>
      <c r="D640" s="17"/>
      <c r="E640" s="218"/>
      <c r="F640" s="218"/>
      <c r="G640" s="218">
        <v>14.25</v>
      </c>
      <c r="H640" s="218"/>
      <c r="I640" s="218"/>
      <c r="J640" s="218"/>
      <c r="K640" s="218"/>
      <c r="L640" s="218"/>
      <c r="M640" s="281">
        <f>G640</f>
        <v>14.25</v>
      </c>
    </row>
    <row r="641" spans="1:13" x14ac:dyDescent="0.2">
      <c r="A641" s="231"/>
      <c r="B641" s="9"/>
      <c r="C641" s="7"/>
      <c r="D641" s="17"/>
      <c r="E641" s="218"/>
      <c r="F641" s="218"/>
      <c r="G641" s="218"/>
      <c r="H641" s="218"/>
      <c r="I641" s="218"/>
      <c r="J641" s="218"/>
      <c r="K641" s="218"/>
      <c r="L641" s="218"/>
      <c r="M641" s="277"/>
    </row>
    <row r="642" spans="1:13" x14ac:dyDescent="0.2">
      <c r="A642" s="231"/>
      <c r="B642" s="9"/>
      <c r="C642" s="7" t="s">
        <v>179</v>
      </c>
      <c r="D642" s="17"/>
      <c r="E642" s="218"/>
      <c r="F642" s="218"/>
      <c r="G642" s="218"/>
      <c r="H642" s="218"/>
      <c r="I642" s="218"/>
      <c r="J642" s="218"/>
      <c r="K642" s="218"/>
      <c r="L642" s="218"/>
      <c r="M642" s="277">
        <f>SUM(M643)</f>
        <v>19.7</v>
      </c>
    </row>
    <row r="643" spans="1:13" ht="24" x14ac:dyDescent="0.2">
      <c r="A643" s="231"/>
      <c r="B643" s="9"/>
      <c r="C643" s="7" t="s">
        <v>700</v>
      </c>
      <c r="D643" s="17"/>
      <c r="E643" s="218"/>
      <c r="F643" s="218"/>
      <c r="G643" s="218">
        <v>19.7</v>
      </c>
      <c r="H643" s="218"/>
      <c r="I643" s="218"/>
      <c r="J643" s="218"/>
      <c r="K643" s="218"/>
      <c r="L643" s="218"/>
      <c r="M643" s="281">
        <f>G643</f>
        <v>19.7</v>
      </c>
    </row>
    <row r="644" spans="1:13" x14ac:dyDescent="0.2">
      <c r="A644" s="231"/>
      <c r="B644" s="9"/>
      <c r="C644" s="7"/>
      <c r="D644" s="17"/>
      <c r="E644" s="218"/>
      <c r="F644" s="218"/>
      <c r="G644" s="218"/>
      <c r="H644" s="218"/>
      <c r="I644" s="218"/>
      <c r="J644" s="218"/>
      <c r="K644" s="218"/>
      <c r="L644" s="218"/>
      <c r="M644" s="277"/>
    </row>
    <row r="645" spans="1:13" x14ac:dyDescent="0.2">
      <c r="A645" s="231"/>
      <c r="B645" s="9"/>
      <c r="C645" s="7" t="s">
        <v>152</v>
      </c>
      <c r="D645" s="17"/>
      <c r="E645" s="218"/>
      <c r="F645" s="218"/>
      <c r="G645" s="218"/>
      <c r="H645" s="218"/>
      <c r="I645" s="218"/>
      <c r="J645" s="218"/>
      <c r="K645" s="218"/>
      <c r="L645" s="218"/>
      <c r="M645" s="277">
        <f>SUM(M646)</f>
        <v>21.45</v>
      </c>
    </row>
    <row r="646" spans="1:13" ht="36" x14ac:dyDescent="0.2">
      <c r="A646" s="231"/>
      <c r="B646" s="9"/>
      <c r="C646" s="7" t="s">
        <v>701</v>
      </c>
      <c r="D646" s="17"/>
      <c r="E646" s="218"/>
      <c r="F646" s="218"/>
      <c r="G646" s="218">
        <v>21.45</v>
      </c>
      <c r="H646" s="218"/>
      <c r="I646" s="218"/>
      <c r="J646" s="218"/>
      <c r="K646" s="218"/>
      <c r="L646" s="218"/>
      <c r="M646" s="281">
        <f>G646</f>
        <v>21.45</v>
      </c>
    </row>
    <row r="647" spans="1:13" x14ac:dyDescent="0.2">
      <c r="A647" s="231"/>
      <c r="B647" s="9"/>
      <c r="C647" s="7"/>
      <c r="D647" s="17"/>
      <c r="E647" s="218"/>
      <c r="F647" s="218"/>
      <c r="G647" s="218"/>
      <c r="H647" s="218"/>
      <c r="I647" s="218"/>
      <c r="J647" s="218"/>
      <c r="K647" s="218"/>
      <c r="L647" s="218"/>
      <c r="M647" s="277"/>
    </row>
    <row r="648" spans="1:13" x14ac:dyDescent="0.2">
      <c r="A648" s="231"/>
      <c r="B648" s="9"/>
      <c r="C648" s="7"/>
      <c r="D648" s="17"/>
      <c r="E648" s="218"/>
      <c r="F648" s="218"/>
      <c r="G648" s="218"/>
      <c r="H648" s="218"/>
      <c r="I648" s="218"/>
      <c r="J648" s="218"/>
      <c r="K648" s="218"/>
      <c r="L648" s="218"/>
      <c r="M648" s="277"/>
    </row>
    <row r="649" spans="1:13" ht="48" x14ac:dyDescent="0.2">
      <c r="A649" s="231" t="s">
        <v>101</v>
      </c>
      <c r="B649" s="9" t="s">
        <v>360</v>
      </c>
      <c r="C649" s="7" t="s">
        <v>102</v>
      </c>
      <c r="D649" s="17" t="s">
        <v>45</v>
      </c>
      <c r="E649" s="218"/>
      <c r="F649" s="218"/>
      <c r="G649" s="218"/>
      <c r="H649" s="218"/>
      <c r="I649" s="218"/>
      <c r="J649" s="218"/>
      <c r="K649" s="218"/>
      <c r="L649" s="218"/>
      <c r="M649" s="272">
        <f>SUM(M651:M660)</f>
        <v>25.750000000000004</v>
      </c>
    </row>
    <row r="650" spans="1:13" x14ac:dyDescent="0.2">
      <c r="A650" s="231"/>
      <c r="B650" s="9"/>
      <c r="C650" s="7" t="s">
        <v>150</v>
      </c>
      <c r="D650" s="8"/>
      <c r="E650" s="218"/>
      <c r="F650" s="218"/>
      <c r="G650" s="218"/>
      <c r="H650" s="218"/>
      <c r="I650" s="218"/>
      <c r="J650" s="218"/>
      <c r="K650" s="218"/>
      <c r="L650" s="218"/>
      <c r="M650" s="273"/>
    </row>
    <row r="651" spans="1:13" x14ac:dyDescent="0.2">
      <c r="A651" s="231"/>
      <c r="B651" s="9"/>
      <c r="C651" s="7" t="s">
        <v>425</v>
      </c>
      <c r="D651" s="8"/>
      <c r="E651" s="218"/>
      <c r="F651" s="218"/>
      <c r="G651" s="218">
        <v>19.850000000000001</v>
      </c>
      <c r="H651" s="218"/>
      <c r="I651" s="218"/>
      <c r="J651" s="218"/>
      <c r="K651" s="218"/>
      <c r="L651" s="218"/>
      <c r="M651" s="273">
        <f>G651</f>
        <v>19.850000000000001</v>
      </c>
    </row>
    <row r="652" spans="1:13" x14ac:dyDescent="0.2">
      <c r="A652" s="231"/>
      <c r="B652" s="9"/>
      <c r="C652" s="7"/>
      <c r="D652" s="8"/>
      <c r="E652" s="218"/>
      <c r="F652" s="218"/>
      <c r="G652" s="218"/>
      <c r="H652" s="218"/>
      <c r="I652" s="218"/>
      <c r="J652" s="218"/>
      <c r="K652" s="218"/>
      <c r="L652" s="218"/>
      <c r="M652" s="273"/>
    </row>
    <row r="653" spans="1:13" x14ac:dyDescent="0.2">
      <c r="A653" s="231"/>
      <c r="B653" s="9"/>
      <c r="C653" s="7" t="s">
        <v>151</v>
      </c>
      <c r="D653" s="8"/>
      <c r="E653" s="218"/>
      <c r="F653" s="218"/>
      <c r="G653" s="218"/>
      <c r="H653" s="218"/>
      <c r="I653" s="218"/>
      <c r="J653" s="218"/>
      <c r="K653" s="218"/>
      <c r="L653" s="218"/>
      <c r="M653" s="273"/>
    </row>
    <row r="654" spans="1:13" x14ac:dyDescent="0.2">
      <c r="A654" s="231"/>
      <c r="B654" s="9"/>
      <c r="C654" s="7" t="s">
        <v>426</v>
      </c>
      <c r="D654" s="8"/>
      <c r="E654" s="218"/>
      <c r="F654" s="218">
        <v>1.8</v>
      </c>
      <c r="G654" s="218"/>
      <c r="H654" s="218"/>
      <c r="I654" s="218"/>
      <c r="J654" s="218"/>
      <c r="K654" s="218"/>
      <c r="L654" s="218"/>
      <c r="M654" s="273">
        <f>F654</f>
        <v>1.8</v>
      </c>
    </row>
    <row r="655" spans="1:13" x14ac:dyDescent="0.2">
      <c r="A655" s="231"/>
      <c r="B655" s="9"/>
      <c r="C655" s="7" t="s">
        <v>427</v>
      </c>
      <c r="D655" s="8"/>
      <c r="E655" s="218"/>
      <c r="F655" s="218">
        <v>1.5</v>
      </c>
      <c r="G655" s="218"/>
      <c r="H655" s="218"/>
      <c r="I655" s="218"/>
      <c r="J655" s="218"/>
      <c r="K655" s="218"/>
      <c r="L655" s="218"/>
      <c r="M655" s="273">
        <f t="shared" ref="M655:M660" si="4">F655</f>
        <v>1.5</v>
      </c>
    </row>
    <row r="656" spans="1:13" x14ac:dyDescent="0.2">
      <c r="A656" s="231"/>
      <c r="B656" s="9"/>
      <c r="C656" s="7" t="s">
        <v>428</v>
      </c>
      <c r="D656" s="8"/>
      <c r="E656" s="218"/>
      <c r="F656" s="218">
        <v>1</v>
      </c>
      <c r="G656" s="218"/>
      <c r="H656" s="218"/>
      <c r="I656" s="218"/>
      <c r="J656" s="218"/>
      <c r="K656" s="218"/>
      <c r="L656" s="218"/>
      <c r="M656" s="273">
        <f t="shared" si="4"/>
        <v>1</v>
      </c>
    </row>
    <row r="657" spans="1:13" x14ac:dyDescent="0.2">
      <c r="A657" s="231"/>
      <c r="B657" s="9"/>
      <c r="C657" s="7" t="s">
        <v>429</v>
      </c>
      <c r="D657" s="8"/>
      <c r="E657" s="218"/>
      <c r="F657" s="218">
        <v>0.6</v>
      </c>
      <c r="G657" s="218"/>
      <c r="H657" s="218"/>
      <c r="I657" s="218"/>
      <c r="J657" s="218"/>
      <c r="K657" s="218"/>
      <c r="L657" s="218"/>
      <c r="M657" s="273">
        <f t="shared" si="4"/>
        <v>0.6</v>
      </c>
    </row>
    <row r="658" spans="1:13" x14ac:dyDescent="0.2">
      <c r="A658" s="231"/>
      <c r="B658" s="9"/>
      <c r="C658" s="7"/>
      <c r="D658" s="8"/>
      <c r="E658" s="218"/>
      <c r="F658" s="218"/>
      <c r="G658" s="218"/>
      <c r="H658" s="218"/>
      <c r="I658" s="218"/>
      <c r="J658" s="218"/>
      <c r="K658" s="218"/>
      <c r="L658" s="218"/>
      <c r="M658" s="273"/>
    </row>
    <row r="659" spans="1:13" x14ac:dyDescent="0.2">
      <c r="A659" s="231"/>
      <c r="B659" s="9"/>
      <c r="C659" s="7" t="s">
        <v>152</v>
      </c>
      <c r="D659" s="8"/>
      <c r="E659" s="218"/>
      <c r="F659" s="218"/>
      <c r="G659" s="218"/>
      <c r="H659" s="218"/>
      <c r="I659" s="218"/>
      <c r="J659" s="218"/>
      <c r="K659" s="218"/>
      <c r="L659" s="218"/>
      <c r="M659" s="273"/>
    </row>
    <row r="660" spans="1:13" x14ac:dyDescent="0.2">
      <c r="A660" s="231"/>
      <c r="B660" s="9"/>
      <c r="C660" s="7" t="s">
        <v>398</v>
      </c>
      <c r="D660" s="8"/>
      <c r="E660" s="218"/>
      <c r="F660" s="218">
        <v>1</v>
      </c>
      <c r="G660" s="218"/>
      <c r="H660" s="218"/>
      <c r="I660" s="218"/>
      <c r="J660" s="218"/>
      <c r="K660" s="218"/>
      <c r="L660" s="218"/>
      <c r="M660" s="273">
        <f t="shared" si="4"/>
        <v>1</v>
      </c>
    </row>
    <row r="661" spans="1:13" x14ac:dyDescent="0.2">
      <c r="A661" s="236"/>
      <c r="B661" s="344"/>
      <c r="C661" s="345"/>
      <c r="D661" s="346"/>
      <c r="E661" s="347"/>
      <c r="F661" s="347"/>
      <c r="G661" s="347"/>
      <c r="H661" s="347"/>
      <c r="I661" s="347"/>
      <c r="J661" s="347"/>
      <c r="K661" s="347"/>
      <c r="L661" s="347"/>
      <c r="M661" s="342"/>
    </row>
    <row r="662" spans="1:13" ht="60" x14ac:dyDescent="0.2">
      <c r="A662" s="231" t="s">
        <v>442</v>
      </c>
      <c r="B662" s="9" t="s">
        <v>361</v>
      </c>
      <c r="C662" s="7" t="s">
        <v>443</v>
      </c>
      <c r="D662" s="17" t="s">
        <v>17</v>
      </c>
      <c r="E662" s="218"/>
      <c r="F662" s="218"/>
      <c r="G662" s="218"/>
      <c r="H662" s="218"/>
      <c r="I662" s="218"/>
      <c r="J662" s="218"/>
      <c r="K662" s="218"/>
      <c r="L662" s="218"/>
      <c r="M662" s="341">
        <f>SUM(M663:M664)</f>
        <v>31</v>
      </c>
    </row>
    <row r="663" spans="1:13" x14ac:dyDescent="0.2">
      <c r="A663" s="231"/>
      <c r="B663" s="9"/>
      <c r="C663" s="7" t="s">
        <v>445</v>
      </c>
      <c r="D663" s="8"/>
      <c r="E663" s="218"/>
      <c r="F663" s="218"/>
      <c r="G663" s="218"/>
      <c r="H663" s="218"/>
      <c r="I663" s="218"/>
      <c r="J663" s="218">
        <v>31</v>
      </c>
      <c r="K663" s="218"/>
      <c r="L663" s="218"/>
      <c r="M663" s="273">
        <f>J663</f>
        <v>31</v>
      </c>
    </row>
    <row r="664" spans="1:13" x14ac:dyDescent="0.2">
      <c r="A664" s="231"/>
      <c r="B664" s="9"/>
      <c r="C664" s="7"/>
      <c r="D664" s="8"/>
      <c r="E664" s="218"/>
      <c r="F664" s="218"/>
      <c r="G664" s="218"/>
      <c r="H664" s="218"/>
      <c r="I664" s="218"/>
      <c r="J664" s="218"/>
      <c r="K664" s="218"/>
      <c r="L664" s="218"/>
      <c r="M664" s="273"/>
    </row>
    <row r="665" spans="1:13" x14ac:dyDescent="0.2">
      <c r="A665" s="231"/>
      <c r="B665" s="9"/>
      <c r="C665" s="7"/>
      <c r="D665" s="8"/>
      <c r="E665" s="218"/>
      <c r="F665" s="218"/>
      <c r="G665" s="218"/>
      <c r="H665" s="218"/>
      <c r="I665" s="218"/>
      <c r="J665" s="218"/>
      <c r="K665" s="218"/>
      <c r="L665" s="218"/>
      <c r="M665" s="273"/>
    </row>
    <row r="666" spans="1:13" ht="48" x14ac:dyDescent="0.2">
      <c r="A666" s="231" t="s">
        <v>446</v>
      </c>
      <c r="B666" s="9" t="s">
        <v>434</v>
      </c>
      <c r="C666" s="7" t="s">
        <v>447</v>
      </c>
      <c r="D666" s="17" t="s">
        <v>17</v>
      </c>
      <c r="E666" s="218"/>
      <c r="F666" s="218"/>
      <c r="G666" s="218"/>
      <c r="H666" s="218"/>
      <c r="I666" s="218"/>
      <c r="J666" s="218"/>
      <c r="K666" s="218"/>
      <c r="L666" s="218"/>
      <c r="M666" s="272">
        <f>SUM(M667:M668)</f>
        <v>6.32</v>
      </c>
    </row>
    <row r="667" spans="1:13" x14ac:dyDescent="0.2">
      <c r="A667" s="231"/>
      <c r="B667" s="9"/>
      <c r="C667" s="7" t="s">
        <v>152</v>
      </c>
      <c r="D667" s="8"/>
      <c r="E667" s="218"/>
      <c r="F667" s="218"/>
      <c r="G667" s="218"/>
      <c r="H667" s="218"/>
      <c r="I667" s="218"/>
      <c r="J667" s="218"/>
      <c r="K667" s="218"/>
      <c r="L667" s="218"/>
      <c r="M667" s="273"/>
    </row>
    <row r="668" spans="1:13" ht="24" x14ac:dyDescent="0.2">
      <c r="A668" s="231"/>
      <c r="B668" s="9"/>
      <c r="C668" s="7" t="s">
        <v>449</v>
      </c>
      <c r="D668" s="8"/>
      <c r="E668" s="218"/>
      <c r="F668" s="218"/>
      <c r="G668" s="218"/>
      <c r="H668" s="218"/>
      <c r="I668" s="218"/>
      <c r="J668" s="218">
        <v>6.32</v>
      </c>
      <c r="K668" s="218"/>
      <c r="L668" s="218"/>
      <c r="M668" s="273">
        <f>J668</f>
        <v>6.32</v>
      </c>
    </row>
    <row r="669" spans="1:13" x14ac:dyDescent="0.2">
      <c r="A669" s="231"/>
      <c r="B669" s="9"/>
      <c r="C669" s="7"/>
      <c r="D669" s="8"/>
      <c r="E669" s="218"/>
      <c r="F669" s="218"/>
      <c r="G669" s="218"/>
      <c r="H669" s="218"/>
      <c r="I669" s="218"/>
      <c r="J669" s="218"/>
      <c r="K669" s="218"/>
      <c r="L669" s="218"/>
      <c r="M669" s="273"/>
    </row>
    <row r="670" spans="1:13" ht="60" x14ac:dyDescent="0.2">
      <c r="A670" s="231">
        <v>87266</v>
      </c>
      <c r="B670" s="9" t="s">
        <v>435</v>
      </c>
      <c r="C670" s="7" t="s">
        <v>719</v>
      </c>
      <c r="D670" s="17" t="s">
        <v>17</v>
      </c>
      <c r="E670" s="218"/>
      <c r="F670" s="218"/>
      <c r="G670" s="218"/>
      <c r="H670" s="218"/>
      <c r="I670" s="218"/>
      <c r="J670" s="218"/>
      <c r="K670" s="218"/>
      <c r="L670" s="218"/>
      <c r="M670" s="272">
        <f>SUM(M671,M678,M683)</f>
        <v>14.5276</v>
      </c>
    </row>
    <row r="671" spans="1:13" x14ac:dyDescent="0.2">
      <c r="A671" s="231"/>
      <c r="B671" s="9"/>
      <c r="C671" s="7" t="s">
        <v>150</v>
      </c>
      <c r="D671" s="8"/>
      <c r="E671" s="218"/>
      <c r="F671" s="218"/>
      <c r="G671" s="218"/>
      <c r="H671" s="218"/>
      <c r="I671" s="218"/>
      <c r="J671" s="218"/>
      <c r="K671" s="218"/>
      <c r="L671" s="218"/>
      <c r="M671" s="282">
        <f>SUM(M672)</f>
        <v>6.26</v>
      </c>
    </row>
    <row r="672" spans="1:13" x14ac:dyDescent="0.2">
      <c r="A672" s="231"/>
      <c r="B672" s="9"/>
      <c r="C672" s="7" t="s">
        <v>658</v>
      </c>
      <c r="D672" s="8"/>
      <c r="E672" s="218"/>
      <c r="F672" s="218"/>
      <c r="G672" s="218"/>
      <c r="H672" s="218"/>
      <c r="I672" s="218"/>
      <c r="J672" s="218"/>
      <c r="K672" s="218"/>
      <c r="L672" s="218"/>
      <c r="M672" s="273">
        <f>SUM(M673:M675)</f>
        <v>6.26</v>
      </c>
    </row>
    <row r="673" spans="1:13" x14ac:dyDescent="0.2">
      <c r="A673" s="231"/>
      <c r="B673" s="9"/>
      <c r="C673" s="7"/>
      <c r="D673" s="8"/>
      <c r="E673" s="218"/>
      <c r="F673" s="218">
        <v>2</v>
      </c>
      <c r="G673" s="218"/>
      <c r="H673" s="218"/>
      <c r="I673" s="218">
        <v>1.6</v>
      </c>
      <c r="J673" s="218"/>
      <c r="K673" s="218"/>
      <c r="L673" s="218"/>
      <c r="M673" s="273">
        <f>F673*I673</f>
        <v>3.2</v>
      </c>
    </row>
    <row r="674" spans="1:13" x14ac:dyDescent="0.2">
      <c r="A674" s="231"/>
      <c r="B674" s="9"/>
      <c r="C674" s="7"/>
      <c r="D674" s="8"/>
      <c r="E674" s="218">
        <v>4</v>
      </c>
      <c r="F674" s="218">
        <v>0.6</v>
      </c>
      <c r="G674" s="218"/>
      <c r="H674" s="218"/>
      <c r="I674" s="218">
        <v>0.85</v>
      </c>
      <c r="J674" s="218"/>
      <c r="K674" s="218"/>
      <c r="L674" s="218"/>
      <c r="M674" s="273">
        <f>E674*F674*I674</f>
        <v>2.04</v>
      </c>
    </row>
    <row r="675" spans="1:13" x14ac:dyDescent="0.2">
      <c r="A675" s="231"/>
      <c r="B675" s="9"/>
      <c r="C675" s="7"/>
      <c r="D675" s="8"/>
      <c r="E675" s="218"/>
      <c r="F675" s="218">
        <v>1.7</v>
      </c>
      <c r="G675" s="218"/>
      <c r="H675" s="218"/>
      <c r="I675" s="218">
        <v>0.6</v>
      </c>
      <c r="J675" s="218"/>
      <c r="K675" s="218"/>
      <c r="L675" s="218"/>
      <c r="M675" s="273">
        <f>F675*I675</f>
        <v>1.02</v>
      </c>
    </row>
    <row r="676" spans="1:13" x14ac:dyDescent="0.2">
      <c r="A676" s="231"/>
      <c r="B676" s="9"/>
      <c r="C676" s="7"/>
      <c r="D676" s="8"/>
      <c r="E676" s="218"/>
      <c r="F676" s="218"/>
      <c r="G676" s="218"/>
      <c r="H676" s="218"/>
      <c r="I676" s="218"/>
      <c r="J676" s="218"/>
      <c r="K676" s="218"/>
      <c r="L676" s="218"/>
      <c r="M676" s="273"/>
    </row>
    <row r="677" spans="1:13" x14ac:dyDescent="0.2">
      <c r="A677" s="231"/>
      <c r="B677" s="9"/>
      <c r="C677" s="7" t="s">
        <v>151</v>
      </c>
      <c r="D677" s="8"/>
      <c r="E677" s="218"/>
      <c r="F677" s="218"/>
      <c r="G677" s="218"/>
      <c r="H677" s="218"/>
      <c r="I677" s="218"/>
      <c r="J677" s="218"/>
      <c r="K677" s="218"/>
      <c r="L677" s="218"/>
      <c r="M677" s="273"/>
    </row>
    <row r="678" spans="1:13" x14ac:dyDescent="0.2">
      <c r="A678" s="231"/>
      <c r="B678" s="9"/>
      <c r="C678" s="7" t="s">
        <v>165</v>
      </c>
      <c r="D678" s="8"/>
      <c r="E678" s="218"/>
      <c r="F678" s="218"/>
      <c r="G678" s="218"/>
      <c r="H678" s="218"/>
      <c r="I678" s="218"/>
      <c r="J678" s="218"/>
      <c r="K678" s="218"/>
      <c r="L678" s="218"/>
      <c r="M678" s="282">
        <f>SUM(M679:M681)</f>
        <v>4.2571000000000003</v>
      </c>
    </row>
    <row r="679" spans="1:13" x14ac:dyDescent="0.2">
      <c r="A679" s="231"/>
      <c r="B679" s="9"/>
      <c r="C679" s="7"/>
      <c r="D679" s="8"/>
      <c r="E679" s="218"/>
      <c r="F679" s="218">
        <v>2.1800000000000002</v>
      </c>
      <c r="G679" s="218"/>
      <c r="H679" s="218"/>
      <c r="I679" s="218">
        <v>0.82</v>
      </c>
      <c r="J679" s="218"/>
      <c r="K679" s="218"/>
      <c r="L679" s="218"/>
      <c r="M679" s="273">
        <f>F679*I679</f>
        <v>1.7876000000000001</v>
      </c>
    </row>
    <row r="680" spans="1:13" x14ac:dyDescent="0.2">
      <c r="A680" s="231"/>
      <c r="B680" s="9"/>
      <c r="C680" s="7"/>
      <c r="D680" s="8"/>
      <c r="E680" s="218">
        <v>3</v>
      </c>
      <c r="F680" s="218">
        <v>0.55000000000000004</v>
      </c>
      <c r="G680" s="218"/>
      <c r="H680" s="218"/>
      <c r="I680" s="218">
        <v>0.82</v>
      </c>
      <c r="J680" s="218"/>
      <c r="K680" s="218"/>
      <c r="L680" s="218"/>
      <c r="M680" s="273">
        <f>E680*F680*I680</f>
        <v>1.353</v>
      </c>
    </row>
    <row r="681" spans="1:13" x14ac:dyDescent="0.2">
      <c r="A681" s="231"/>
      <c r="B681" s="9"/>
      <c r="C681" s="7"/>
      <c r="D681" s="8"/>
      <c r="E681" s="218"/>
      <c r="F681" s="218">
        <v>2.0299999999999998</v>
      </c>
      <c r="G681" s="218"/>
      <c r="H681" s="218"/>
      <c r="I681" s="218">
        <v>0.55000000000000004</v>
      </c>
      <c r="J681" s="218"/>
      <c r="K681" s="218"/>
      <c r="L681" s="218"/>
      <c r="M681" s="273">
        <f>F681*I681</f>
        <v>1.1165</v>
      </c>
    </row>
    <row r="682" spans="1:13" x14ac:dyDescent="0.2">
      <c r="A682" s="231"/>
      <c r="B682" s="9"/>
      <c r="C682" s="7"/>
      <c r="D682" s="8"/>
      <c r="E682" s="218"/>
      <c r="F682" s="218"/>
      <c r="G682" s="218"/>
      <c r="H682" s="218"/>
      <c r="I682" s="218"/>
      <c r="J682" s="218"/>
      <c r="K682" s="218"/>
      <c r="L682" s="218"/>
      <c r="M682" s="273"/>
    </row>
    <row r="683" spans="1:13" x14ac:dyDescent="0.2">
      <c r="A683" s="231"/>
      <c r="B683" s="9"/>
      <c r="C683" s="7" t="s">
        <v>152</v>
      </c>
      <c r="D683" s="8"/>
      <c r="E683" s="218"/>
      <c r="F683" s="218"/>
      <c r="G683" s="218"/>
      <c r="H683" s="218"/>
      <c r="I683" s="218"/>
      <c r="J683" s="218"/>
      <c r="K683" s="218"/>
      <c r="L683" s="218"/>
      <c r="M683" s="282">
        <f>SUM(M684:M686)</f>
        <v>4.0105000000000004</v>
      </c>
    </row>
    <row r="684" spans="1:13" x14ac:dyDescent="0.2">
      <c r="A684" s="231"/>
      <c r="B684" s="9"/>
      <c r="C684" s="7" t="s">
        <v>171</v>
      </c>
      <c r="D684" s="8"/>
      <c r="E684" s="218"/>
      <c r="F684" s="218">
        <v>2</v>
      </c>
      <c r="G684" s="218"/>
      <c r="H684" s="218"/>
      <c r="I684" s="218">
        <v>0.82</v>
      </c>
      <c r="J684" s="218"/>
      <c r="K684" s="218"/>
      <c r="L684" s="218"/>
      <c r="M684" s="273">
        <f>F684*I684</f>
        <v>1.64</v>
      </c>
    </row>
    <row r="685" spans="1:13" x14ac:dyDescent="0.2">
      <c r="A685" s="231"/>
      <c r="B685" s="9"/>
      <c r="C685" s="7"/>
      <c r="D685" s="8"/>
      <c r="E685" s="218">
        <v>3</v>
      </c>
      <c r="F685" s="218">
        <v>0.55000000000000004</v>
      </c>
      <c r="G685" s="218"/>
      <c r="H685" s="218"/>
      <c r="I685" s="218">
        <v>0.82</v>
      </c>
      <c r="J685" s="218"/>
      <c r="K685" s="218"/>
      <c r="L685" s="218"/>
      <c r="M685" s="273">
        <f>E685*F685*I685</f>
        <v>1.353</v>
      </c>
    </row>
    <row r="686" spans="1:13" x14ac:dyDescent="0.2">
      <c r="A686" s="231"/>
      <c r="B686" s="9"/>
      <c r="C686" s="7"/>
      <c r="D686" s="8"/>
      <c r="E686" s="218"/>
      <c r="F686" s="218">
        <v>1.85</v>
      </c>
      <c r="G686" s="218"/>
      <c r="H686" s="218"/>
      <c r="I686" s="218">
        <v>0.55000000000000004</v>
      </c>
      <c r="J686" s="218"/>
      <c r="K686" s="218"/>
      <c r="L686" s="218"/>
      <c r="M686" s="273">
        <f>F686*I686</f>
        <v>1.0175000000000001</v>
      </c>
    </row>
    <row r="687" spans="1:13" x14ac:dyDescent="0.2">
      <c r="A687" s="231"/>
      <c r="B687" s="9"/>
      <c r="C687" s="7"/>
      <c r="D687" s="8"/>
      <c r="E687" s="218"/>
      <c r="F687" s="218"/>
      <c r="G687" s="218"/>
      <c r="H687" s="218"/>
      <c r="I687" s="218"/>
      <c r="J687" s="218"/>
      <c r="K687" s="218"/>
      <c r="L687" s="218"/>
      <c r="M687" s="273"/>
    </row>
    <row r="688" spans="1:13" x14ac:dyDescent="0.2">
      <c r="A688" s="231"/>
      <c r="B688" s="9"/>
      <c r="C688" s="7"/>
      <c r="D688" s="8"/>
      <c r="E688" s="218"/>
      <c r="F688" s="218"/>
      <c r="G688" s="218"/>
      <c r="H688" s="218"/>
      <c r="I688" s="218"/>
      <c r="J688" s="218"/>
      <c r="K688" s="218"/>
      <c r="L688" s="218"/>
      <c r="M688" s="273"/>
    </row>
    <row r="689" spans="1:13" x14ac:dyDescent="0.2">
      <c r="A689" s="231"/>
      <c r="B689" s="9"/>
      <c r="C689" s="7"/>
      <c r="D689" s="8"/>
      <c r="E689" s="218"/>
      <c r="F689" s="218"/>
      <c r="G689" s="218"/>
      <c r="H689" s="218"/>
      <c r="I689" s="218"/>
      <c r="J689" s="218"/>
      <c r="K689" s="218"/>
      <c r="L689" s="218"/>
      <c r="M689" s="273"/>
    </row>
    <row r="690" spans="1:13" x14ac:dyDescent="0.2">
      <c r="A690" s="231"/>
      <c r="B690" s="9"/>
      <c r="C690" s="7"/>
      <c r="D690" s="8"/>
      <c r="E690" s="218"/>
      <c r="F690" s="218"/>
      <c r="G690" s="218"/>
      <c r="H690" s="218"/>
      <c r="I690" s="218"/>
      <c r="J690" s="218"/>
      <c r="K690" s="218"/>
      <c r="L690" s="218"/>
      <c r="M690" s="273"/>
    </row>
    <row r="691" spans="1:13" ht="84" x14ac:dyDescent="0.2">
      <c r="A691" s="231" t="s">
        <v>1158</v>
      </c>
      <c r="B691" s="9" t="s">
        <v>444</v>
      </c>
      <c r="C691" s="7" t="s">
        <v>1159</v>
      </c>
      <c r="D691" s="17" t="s">
        <v>17</v>
      </c>
      <c r="E691" s="218"/>
      <c r="F691" s="218"/>
      <c r="G691" s="218"/>
      <c r="H691" s="218"/>
      <c r="I691" s="218"/>
      <c r="J691" s="218"/>
      <c r="K691" s="218"/>
      <c r="L691" s="218"/>
      <c r="M691" s="272">
        <f>SUM(M692,M712)</f>
        <v>68.010199999999998</v>
      </c>
    </row>
    <row r="692" spans="1:13" x14ac:dyDescent="0.2">
      <c r="A692" s="231"/>
      <c r="B692" s="9"/>
      <c r="C692" s="7" t="s">
        <v>151</v>
      </c>
      <c r="D692" s="8"/>
      <c r="E692" s="218"/>
      <c r="F692" s="218"/>
      <c r="G692" s="218"/>
      <c r="H692" s="218"/>
      <c r="I692" s="218"/>
      <c r="J692" s="218"/>
      <c r="K692" s="218"/>
      <c r="L692" s="218"/>
      <c r="M692" s="282">
        <f>SUM(M693,M697,M701,M705,M709)</f>
        <v>34.510199999999998</v>
      </c>
    </row>
    <row r="693" spans="1:13" x14ac:dyDescent="0.2">
      <c r="A693" s="231"/>
      <c r="B693" s="9"/>
      <c r="C693" s="7" t="s">
        <v>437</v>
      </c>
      <c r="D693" s="8"/>
      <c r="E693" s="218"/>
      <c r="F693" s="218"/>
      <c r="G693" s="218"/>
      <c r="H693" s="218"/>
      <c r="I693" s="218"/>
      <c r="J693" s="218"/>
      <c r="K693" s="218"/>
      <c r="L693" s="218"/>
      <c r="M693" s="273">
        <f>SUM(M694:M695)</f>
        <v>10.560000000000002</v>
      </c>
    </row>
    <row r="694" spans="1:13" x14ac:dyDescent="0.2">
      <c r="A694" s="231"/>
      <c r="B694" s="9"/>
      <c r="C694" s="7" t="s">
        <v>708</v>
      </c>
      <c r="D694" s="8"/>
      <c r="E694" s="218"/>
      <c r="F694" s="218"/>
      <c r="G694" s="218">
        <v>7.2</v>
      </c>
      <c r="H694" s="218"/>
      <c r="I694" s="218">
        <v>1.6</v>
      </c>
      <c r="J694" s="218"/>
      <c r="K694" s="218"/>
      <c r="L694" s="218"/>
      <c r="M694" s="273">
        <f>G694*I694</f>
        <v>11.520000000000001</v>
      </c>
    </row>
    <row r="695" spans="1:13" x14ac:dyDescent="0.2">
      <c r="A695" s="231"/>
      <c r="B695" s="9"/>
      <c r="C695" s="7" t="s">
        <v>709</v>
      </c>
      <c r="D695" s="8"/>
      <c r="E695" s="218"/>
      <c r="F695" s="218"/>
      <c r="G695" s="218"/>
      <c r="H695" s="218">
        <v>0.6</v>
      </c>
      <c r="I695" s="218">
        <v>1.6</v>
      </c>
      <c r="J695" s="218"/>
      <c r="K695" s="218"/>
      <c r="L695" s="218"/>
      <c r="M695" s="273">
        <f>-H695*I695</f>
        <v>-0.96</v>
      </c>
    </row>
    <row r="696" spans="1:13" x14ac:dyDescent="0.2">
      <c r="A696" s="231"/>
      <c r="B696" s="9"/>
      <c r="C696" s="7"/>
      <c r="D696" s="8"/>
      <c r="E696" s="218"/>
      <c r="F696" s="218"/>
      <c r="G696" s="218"/>
      <c r="H696" s="218"/>
      <c r="I696" s="218"/>
      <c r="J696" s="218"/>
      <c r="K696" s="218"/>
      <c r="L696" s="218"/>
      <c r="M696" s="273"/>
    </row>
    <row r="697" spans="1:13" x14ac:dyDescent="0.2">
      <c r="A697" s="231"/>
      <c r="B697" s="9"/>
      <c r="C697" s="7" t="s">
        <v>438</v>
      </c>
      <c r="D697" s="8"/>
      <c r="E697" s="218"/>
      <c r="F697" s="218"/>
      <c r="G697" s="218"/>
      <c r="H697" s="218"/>
      <c r="I697" s="218"/>
      <c r="J697" s="218"/>
      <c r="K697" s="218"/>
      <c r="L697" s="218"/>
      <c r="M697" s="273">
        <f>SUM(M698:M699)</f>
        <v>8.0229999999999997</v>
      </c>
    </row>
    <row r="698" spans="1:13" x14ac:dyDescent="0.2">
      <c r="A698" s="231"/>
      <c r="B698" s="9"/>
      <c r="C698" s="7" t="s">
        <v>710</v>
      </c>
      <c r="D698" s="8"/>
      <c r="E698" s="218"/>
      <c r="F698" s="218"/>
      <c r="G698" s="218">
        <v>6.25</v>
      </c>
      <c r="H698" s="218"/>
      <c r="I698" s="218">
        <v>1.42</v>
      </c>
      <c r="J698" s="218"/>
      <c r="K698" s="218"/>
      <c r="L698" s="218"/>
      <c r="M698" s="273">
        <f>G698*I698</f>
        <v>8.875</v>
      </c>
    </row>
    <row r="699" spans="1:13" x14ac:dyDescent="0.2">
      <c r="A699" s="231"/>
      <c r="B699" s="9"/>
      <c r="C699" s="7" t="s">
        <v>709</v>
      </c>
      <c r="D699" s="8"/>
      <c r="E699" s="218"/>
      <c r="F699" s="218"/>
      <c r="G699" s="218"/>
      <c r="H699" s="218">
        <v>0.6</v>
      </c>
      <c r="I699" s="218">
        <v>1.42</v>
      </c>
      <c r="J699" s="218"/>
      <c r="K699" s="218"/>
      <c r="L699" s="218"/>
      <c r="M699" s="273">
        <f>-H699*I699</f>
        <v>-0.85199999999999998</v>
      </c>
    </row>
    <row r="700" spans="1:13" x14ac:dyDescent="0.2">
      <c r="A700" s="231"/>
      <c r="B700" s="9"/>
      <c r="C700" s="7"/>
      <c r="D700" s="8"/>
      <c r="E700" s="218"/>
      <c r="F700" s="218"/>
      <c r="G700" s="218"/>
      <c r="H700" s="218"/>
      <c r="I700" s="218"/>
      <c r="J700" s="218"/>
      <c r="K700" s="218"/>
      <c r="L700" s="218"/>
      <c r="M700" s="273"/>
    </row>
    <row r="701" spans="1:13" x14ac:dyDescent="0.2">
      <c r="A701" s="231"/>
      <c r="B701" s="9"/>
      <c r="C701" s="7" t="s">
        <v>428</v>
      </c>
      <c r="D701" s="8"/>
      <c r="E701" s="218"/>
      <c r="F701" s="218"/>
      <c r="G701" s="218"/>
      <c r="H701" s="218"/>
      <c r="I701" s="218"/>
      <c r="J701" s="218"/>
      <c r="K701" s="218"/>
      <c r="L701" s="218"/>
      <c r="M701" s="273">
        <f>SUM(M702:M703)</f>
        <v>8.6051999999999982</v>
      </c>
    </row>
    <row r="702" spans="1:13" x14ac:dyDescent="0.2">
      <c r="A702" s="231"/>
      <c r="B702" s="9"/>
      <c r="C702" s="7" t="s">
        <v>711</v>
      </c>
      <c r="D702" s="8"/>
      <c r="E702" s="218"/>
      <c r="F702" s="218"/>
      <c r="G702" s="218">
        <v>7.06</v>
      </c>
      <c r="H702" s="218"/>
      <c r="I702" s="218">
        <v>1.42</v>
      </c>
      <c r="J702" s="218"/>
      <c r="K702" s="218"/>
      <c r="L702" s="218"/>
      <c r="M702" s="273">
        <f>G702*I702</f>
        <v>10.025199999999998</v>
      </c>
    </row>
    <row r="703" spans="1:13" x14ac:dyDescent="0.2">
      <c r="A703" s="231"/>
      <c r="B703" s="9"/>
      <c r="C703" s="7" t="s">
        <v>709</v>
      </c>
      <c r="D703" s="8"/>
      <c r="E703" s="218"/>
      <c r="F703" s="218"/>
      <c r="G703" s="218"/>
      <c r="H703" s="218">
        <v>1</v>
      </c>
      <c r="I703" s="218">
        <v>1.42</v>
      </c>
      <c r="J703" s="218"/>
      <c r="K703" s="218"/>
      <c r="L703" s="218"/>
      <c r="M703" s="273">
        <f>-H703*I703</f>
        <v>-1.42</v>
      </c>
    </row>
    <row r="704" spans="1:13" x14ac:dyDescent="0.2">
      <c r="A704" s="231"/>
      <c r="B704" s="9"/>
      <c r="C704" s="7"/>
      <c r="D704" s="8"/>
      <c r="E704" s="218"/>
      <c r="F704" s="218"/>
      <c r="G704" s="218"/>
      <c r="H704" s="218"/>
      <c r="I704" s="218"/>
      <c r="J704" s="218"/>
      <c r="K704" s="218"/>
      <c r="L704" s="218"/>
      <c r="M704" s="273"/>
    </row>
    <row r="705" spans="1:13" x14ac:dyDescent="0.2">
      <c r="A705" s="231"/>
      <c r="B705" s="9"/>
      <c r="C705" s="7" t="s">
        <v>659</v>
      </c>
      <c r="D705" s="8"/>
      <c r="E705" s="218"/>
      <c r="F705" s="218"/>
      <c r="G705" s="218"/>
      <c r="H705" s="218"/>
      <c r="I705" s="218"/>
      <c r="J705" s="218"/>
      <c r="K705" s="218"/>
      <c r="L705" s="218"/>
      <c r="M705" s="273">
        <f>SUM(M706:M707)</f>
        <v>6.2299999999999995</v>
      </c>
    </row>
    <row r="706" spans="1:13" x14ac:dyDescent="0.2">
      <c r="A706" s="231"/>
      <c r="B706" s="9"/>
      <c r="C706" s="7" t="s">
        <v>712</v>
      </c>
      <c r="D706" s="8"/>
      <c r="E706" s="218"/>
      <c r="F706" s="218"/>
      <c r="G706" s="218">
        <v>5.05</v>
      </c>
      <c r="H706" s="218"/>
      <c r="I706" s="218">
        <v>1.4</v>
      </c>
      <c r="J706" s="218"/>
      <c r="K706" s="218"/>
      <c r="L706" s="218"/>
      <c r="M706" s="273">
        <f>G706*I706</f>
        <v>7.0699999999999994</v>
      </c>
    </row>
    <row r="707" spans="1:13" x14ac:dyDescent="0.2">
      <c r="A707" s="231"/>
      <c r="B707" s="9"/>
      <c r="C707" s="7" t="s">
        <v>709</v>
      </c>
      <c r="D707" s="8"/>
      <c r="E707" s="218"/>
      <c r="F707" s="218"/>
      <c r="G707" s="218"/>
      <c r="H707" s="218">
        <v>0.6</v>
      </c>
      <c r="I707" s="218">
        <v>1.4</v>
      </c>
      <c r="J707" s="218"/>
      <c r="K707" s="218"/>
      <c r="L707" s="218"/>
      <c r="M707" s="273">
        <f>-H707*I707</f>
        <v>-0.84</v>
      </c>
    </row>
    <row r="708" spans="1:13" x14ac:dyDescent="0.2">
      <c r="A708" s="231"/>
      <c r="B708" s="9"/>
      <c r="C708" s="7"/>
      <c r="D708" s="8"/>
      <c r="E708" s="218"/>
      <c r="F708" s="218"/>
      <c r="G708" s="218"/>
      <c r="H708" s="218"/>
      <c r="I708" s="218"/>
      <c r="J708" s="218"/>
      <c r="K708" s="218"/>
      <c r="L708" s="218"/>
      <c r="M708" s="273"/>
    </row>
    <row r="709" spans="1:13" x14ac:dyDescent="0.2">
      <c r="A709" s="231"/>
      <c r="B709" s="9"/>
      <c r="C709" s="7" t="s">
        <v>165</v>
      </c>
      <c r="D709" s="8"/>
      <c r="E709" s="218"/>
      <c r="F709" s="218"/>
      <c r="G709" s="218"/>
      <c r="H709" s="218"/>
      <c r="I709" s="218"/>
      <c r="J709" s="218"/>
      <c r="K709" s="218"/>
      <c r="L709" s="218"/>
      <c r="M709" s="273">
        <f>SUM(M710)</f>
        <v>1.0920000000000001</v>
      </c>
    </row>
    <row r="710" spans="1:13" x14ac:dyDescent="0.2">
      <c r="A710" s="231"/>
      <c r="B710" s="9"/>
      <c r="C710" s="7" t="s">
        <v>713</v>
      </c>
      <c r="D710" s="8"/>
      <c r="E710" s="218"/>
      <c r="F710" s="218"/>
      <c r="G710" s="218">
        <v>2.73</v>
      </c>
      <c r="H710" s="218"/>
      <c r="I710" s="218">
        <v>0.4</v>
      </c>
      <c r="J710" s="218"/>
      <c r="K710" s="218"/>
      <c r="L710" s="218"/>
      <c r="M710" s="273">
        <f>G710*I710</f>
        <v>1.0920000000000001</v>
      </c>
    </row>
    <row r="711" spans="1:13" x14ac:dyDescent="0.2">
      <c r="A711" s="231"/>
      <c r="B711" s="9"/>
      <c r="C711" s="7"/>
      <c r="D711" s="8"/>
      <c r="E711" s="218"/>
      <c r="F711" s="218"/>
      <c r="G711" s="218"/>
      <c r="H711" s="218"/>
      <c r="I711" s="218"/>
      <c r="J711" s="218"/>
      <c r="K711" s="218"/>
      <c r="L711" s="218"/>
      <c r="M711" s="273"/>
    </row>
    <row r="712" spans="1:13" x14ac:dyDescent="0.2">
      <c r="A712" s="231"/>
      <c r="B712" s="9"/>
      <c r="C712" s="7" t="s">
        <v>152</v>
      </c>
      <c r="D712" s="8"/>
      <c r="E712" s="218"/>
      <c r="F712" s="218"/>
      <c r="G712" s="218"/>
      <c r="H712" s="218"/>
      <c r="I712" s="218"/>
      <c r="J712" s="218"/>
      <c r="K712" s="218"/>
      <c r="L712" s="218"/>
      <c r="M712" s="282">
        <f>SUM(M713,M717,M721)</f>
        <v>33.500000000000007</v>
      </c>
    </row>
    <row r="713" spans="1:13" x14ac:dyDescent="0.2">
      <c r="A713" s="231"/>
      <c r="B713" s="9"/>
      <c r="C713" s="7" t="s">
        <v>714</v>
      </c>
      <c r="D713" s="8"/>
      <c r="E713" s="218"/>
      <c r="F713" s="218"/>
      <c r="G713" s="218"/>
      <c r="H713" s="218"/>
      <c r="I713" s="218"/>
      <c r="J713" s="218"/>
      <c r="K713" s="218"/>
      <c r="L713" s="218"/>
      <c r="M713" s="273">
        <f>SUM(M714:M715)</f>
        <v>7.84</v>
      </c>
    </row>
    <row r="714" spans="1:13" x14ac:dyDescent="0.2">
      <c r="A714" s="231"/>
      <c r="B714" s="9"/>
      <c r="C714" s="7" t="s">
        <v>715</v>
      </c>
      <c r="D714" s="8"/>
      <c r="E714" s="218"/>
      <c r="F714" s="218"/>
      <c r="G714" s="218">
        <v>6.2</v>
      </c>
      <c r="H714" s="218"/>
      <c r="I714" s="218">
        <v>1.4</v>
      </c>
      <c r="J714" s="218"/>
      <c r="K714" s="218"/>
      <c r="L714" s="218"/>
      <c r="M714" s="273">
        <f>G714*I714</f>
        <v>8.68</v>
      </c>
    </row>
    <row r="715" spans="1:13" x14ac:dyDescent="0.2">
      <c r="A715" s="231"/>
      <c r="B715" s="9"/>
      <c r="C715" s="7" t="s">
        <v>709</v>
      </c>
      <c r="D715" s="8"/>
      <c r="E715" s="218"/>
      <c r="F715" s="218"/>
      <c r="G715" s="218"/>
      <c r="H715" s="218">
        <v>0.6</v>
      </c>
      <c r="I715" s="218">
        <v>1.4</v>
      </c>
      <c r="J715" s="218"/>
      <c r="K715" s="218"/>
      <c r="L715" s="218"/>
      <c r="M715" s="273">
        <f>-H715*I715</f>
        <v>-0.84</v>
      </c>
    </row>
    <row r="716" spans="1:13" x14ac:dyDescent="0.2">
      <c r="A716" s="231"/>
      <c r="B716" s="9"/>
      <c r="C716" s="7"/>
      <c r="D716" s="8"/>
      <c r="E716" s="218"/>
      <c r="F716" s="218"/>
      <c r="G716" s="218"/>
      <c r="H716" s="218"/>
      <c r="I716" s="218"/>
      <c r="J716" s="218"/>
      <c r="K716" s="218"/>
      <c r="L716" s="218"/>
      <c r="M716" s="273"/>
    </row>
    <row r="717" spans="1:13" x14ac:dyDescent="0.2">
      <c r="A717" s="231"/>
      <c r="B717" s="9"/>
      <c r="C717" s="7" t="s">
        <v>716</v>
      </c>
      <c r="D717" s="8"/>
      <c r="E717" s="218"/>
      <c r="F717" s="218"/>
      <c r="G717" s="218"/>
      <c r="H717" s="218"/>
      <c r="I717" s="218"/>
      <c r="J717" s="218"/>
      <c r="K717" s="218"/>
      <c r="L717" s="218"/>
      <c r="M717" s="273">
        <f>SUM(M718:M719)</f>
        <v>24.64</v>
      </c>
    </row>
    <row r="718" spans="1:13" x14ac:dyDescent="0.2">
      <c r="A718" s="231"/>
      <c r="B718" s="9"/>
      <c r="C718" s="7" t="s">
        <v>717</v>
      </c>
      <c r="D718" s="8"/>
      <c r="E718" s="218">
        <v>2</v>
      </c>
      <c r="F718" s="218"/>
      <c r="G718" s="218">
        <v>9.4</v>
      </c>
      <c r="H718" s="218"/>
      <c r="I718" s="218">
        <v>1.4</v>
      </c>
      <c r="J718" s="218"/>
      <c r="K718" s="218"/>
      <c r="L718" s="218"/>
      <c r="M718" s="273">
        <f>E718*G718*I718</f>
        <v>26.32</v>
      </c>
    </row>
    <row r="719" spans="1:13" x14ac:dyDescent="0.2">
      <c r="A719" s="231"/>
      <c r="B719" s="9"/>
      <c r="C719" s="7" t="s">
        <v>648</v>
      </c>
      <c r="D719" s="8"/>
      <c r="E719" s="218">
        <v>2</v>
      </c>
      <c r="F719" s="218"/>
      <c r="G719" s="218"/>
      <c r="H719" s="218">
        <v>0.6</v>
      </c>
      <c r="I719" s="218">
        <v>1.4</v>
      </c>
      <c r="J719" s="218"/>
      <c r="K719" s="218"/>
      <c r="L719" s="218"/>
      <c r="M719" s="273">
        <f>-E719*H719*I719</f>
        <v>-1.68</v>
      </c>
    </row>
    <row r="720" spans="1:13" x14ac:dyDescent="0.2">
      <c r="A720" s="231"/>
      <c r="B720" s="9"/>
      <c r="C720" s="7"/>
      <c r="D720" s="8"/>
      <c r="E720" s="218"/>
      <c r="F720" s="218"/>
      <c r="G720" s="218"/>
      <c r="H720" s="218"/>
      <c r="I720" s="218"/>
      <c r="J720" s="218"/>
      <c r="K720" s="218"/>
      <c r="L720" s="218"/>
      <c r="M720" s="273"/>
    </row>
    <row r="721" spans="1:13" x14ac:dyDescent="0.2">
      <c r="A721" s="231"/>
      <c r="B721" s="9"/>
      <c r="C721" s="7" t="s">
        <v>171</v>
      </c>
      <c r="D721" s="8"/>
      <c r="E721" s="218"/>
      <c r="F721" s="218"/>
      <c r="G721" s="218"/>
      <c r="H721" s="218"/>
      <c r="I721" s="218"/>
      <c r="J721" s="218"/>
      <c r="K721" s="218"/>
      <c r="L721" s="218"/>
      <c r="M721" s="273">
        <f>SUM(M722)</f>
        <v>1.02</v>
      </c>
    </row>
    <row r="722" spans="1:13" x14ac:dyDescent="0.2">
      <c r="A722" s="231"/>
      <c r="B722" s="9"/>
      <c r="C722" s="7" t="s">
        <v>718</v>
      </c>
      <c r="D722" s="8"/>
      <c r="E722" s="218"/>
      <c r="F722" s="218"/>
      <c r="G722" s="218">
        <v>2.5499999999999998</v>
      </c>
      <c r="H722" s="218"/>
      <c r="I722" s="218">
        <v>0.4</v>
      </c>
      <c r="J722" s="218"/>
      <c r="K722" s="218"/>
      <c r="L722" s="218"/>
      <c r="M722" s="273">
        <f>G722*I722</f>
        <v>1.02</v>
      </c>
    </row>
    <row r="723" spans="1:13" x14ac:dyDescent="0.2">
      <c r="A723" s="231"/>
      <c r="B723" s="9"/>
      <c r="C723" s="7"/>
      <c r="D723" s="8"/>
      <c r="E723" s="218"/>
      <c r="F723" s="218"/>
      <c r="G723" s="218"/>
      <c r="H723" s="218"/>
      <c r="I723" s="218"/>
      <c r="J723" s="218"/>
      <c r="K723" s="218"/>
      <c r="L723" s="218"/>
      <c r="M723" s="273"/>
    </row>
    <row r="724" spans="1:13" x14ac:dyDescent="0.2">
      <c r="A724" s="236"/>
      <c r="B724" s="344"/>
      <c r="C724" s="345"/>
      <c r="D724" s="346"/>
      <c r="E724" s="347"/>
      <c r="F724" s="347"/>
      <c r="G724" s="347"/>
      <c r="H724" s="347"/>
      <c r="I724" s="347"/>
      <c r="J724" s="347"/>
      <c r="K724" s="347"/>
      <c r="L724" s="347"/>
      <c r="M724" s="342"/>
    </row>
    <row r="725" spans="1:13" ht="60" x14ac:dyDescent="0.2">
      <c r="A725" s="231" t="s">
        <v>1160</v>
      </c>
      <c r="B725" s="9" t="s">
        <v>448</v>
      </c>
      <c r="C725" s="7" t="s">
        <v>1161</v>
      </c>
      <c r="D725" s="17" t="s">
        <v>17</v>
      </c>
      <c r="E725" s="218"/>
      <c r="F725" s="218"/>
      <c r="G725" s="218"/>
      <c r="H725" s="218"/>
      <c r="I725" s="218"/>
      <c r="J725" s="218"/>
      <c r="K725" s="218"/>
      <c r="L725" s="218"/>
      <c r="M725" s="272">
        <f>SUM(M726,M746)</f>
        <v>1.27</v>
      </c>
    </row>
    <row r="726" spans="1:13" x14ac:dyDescent="0.2">
      <c r="A726" s="231"/>
      <c r="B726" s="9"/>
      <c r="C726" s="7" t="s">
        <v>151</v>
      </c>
      <c r="D726" s="8"/>
      <c r="E726" s="218"/>
      <c r="F726" s="218"/>
      <c r="G726" s="218"/>
      <c r="H726" s="218"/>
      <c r="I726" s="218"/>
      <c r="J726" s="218"/>
      <c r="K726" s="218"/>
      <c r="L726" s="218"/>
      <c r="M726" s="282">
        <f>SUM(M727,M731,M735,M739,M743)</f>
        <v>0.76</v>
      </c>
    </row>
    <row r="727" spans="1:13" x14ac:dyDescent="0.2">
      <c r="A727" s="231"/>
      <c r="B727" s="9"/>
      <c r="C727" s="7" t="s">
        <v>437</v>
      </c>
      <c r="D727" s="8"/>
      <c r="E727" s="218"/>
      <c r="F727" s="218"/>
      <c r="G727" s="218"/>
      <c r="H727" s="218"/>
      <c r="I727" s="218"/>
      <c r="J727" s="218"/>
      <c r="K727" s="218"/>
      <c r="L727" s="218"/>
      <c r="M727" s="273">
        <f>SUM(M728:M729)</f>
        <v>0.2</v>
      </c>
    </row>
    <row r="728" spans="1:13" x14ac:dyDescent="0.2">
      <c r="A728" s="231"/>
      <c r="B728" s="9"/>
      <c r="C728" s="7" t="s">
        <v>708</v>
      </c>
      <c r="D728" s="8"/>
      <c r="E728" s="218"/>
      <c r="F728" s="218"/>
      <c r="G728" s="218">
        <v>7.2</v>
      </c>
      <c r="H728" s="218"/>
      <c r="I728" s="218">
        <v>0.03</v>
      </c>
      <c r="J728" s="218"/>
      <c r="K728" s="218"/>
      <c r="L728" s="218"/>
      <c r="M728" s="273">
        <f>ROUND(G728*I728,2)</f>
        <v>0.22</v>
      </c>
    </row>
    <row r="729" spans="1:13" x14ac:dyDescent="0.2">
      <c r="A729" s="231"/>
      <c r="B729" s="9"/>
      <c r="C729" s="7" t="s">
        <v>709</v>
      </c>
      <c r="D729" s="8"/>
      <c r="E729" s="218"/>
      <c r="F729" s="218"/>
      <c r="G729" s="218"/>
      <c r="H729" s="218">
        <v>0.6</v>
      </c>
      <c r="I729" s="218">
        <v>0.03</v>
      </c>
      <c r="J729" s="218"/>
      <c r="K729" s="218"/>
      <c r="L729" s="218"/>
      <c r="M729" s="273">
        <f>ROUND(-H729*I729,2)</f>
        <v>-0.02</v>
      </c>
    </row>
    <row r="730" spans="1:13" x14ac:dyDescent="0.2">
      <c r="A730" s="231"/>
      <c r="B730" s="9"/>
      <c r="C730" s="7"/>
      <c r="D730" s="8"/>
      <c r="E730" s="218"/>
      <c r="F730" s="218"/>
      <c r="G730" s="218"/>
      <c r="H730" s="218"/>
      <c r="I730" s="218"/>
      <c r="J730" s="218"/>
      <c r="K730" s="218"/>
      <c r="L730" s="218"/>
      <c r="M730" s="273"/>
    </row>
    <row r="731" spans="1:13" x14ac:dyDescent="0.2">
      <c r="A731" s="231"/>
      <c r="B731" s="9"/>
      <c r="C731" s="7" t="s">
        <v>438</v>
      </c>
      <c r="D731" s="8"/>
      <c r="E731" s="218"/>
      <c r="F731" s="218"/>
      <c r="G731" s="218"/>
      <c r="H731" s="218"/>
      <c r="I731" s="218"/>
      <c r="J731" s="218"/>
      <c r="K731" s="218"/>
      <c r="L731" s="218"/>
      <c r="M731" s="273">
        <f>SUM(M732:M733)</f>
        <v>0.17</v>
      </c>
    </row>
    <row r="732" spans="1:13" x14ac:dyDescent="0.2">
      <c r="A732" s="231"/>
      <c r="B732" s="9"/>
      <c r="C732" s="7" t="s">
        <v>710</v>
      </c>
      <c r="D732" s="8"/>
      <c r="E732" s="218"/>
      <c r="F732" s="218"/>
      <c r="G732" s="218">
        <v>6.25</v>
      </c>
      <c r="H732" s="218"/>
      <c r="I732" s="218">
        <v>0.03</v>
      </c>
      <c r="J732" s="218"/>
      <c r="K732" s="218"/>
      <c r="L732" s="218"/>
      <c r="M732" s="273">
        <f>ROUND(G732*I732,2)</f>
        <v>0.19</v>
      </c>
    </row>
    <row r="733" spans="1:13" x14ac:dyDescent="0.2">
      <c r="A733" s="231"/>
      <c r="B733" s="9"/>
      <c r="C733" s="7" t="s">
        <v>709</v>
      </c>
      <c r="D733" s="8"/>
      <c r="E733" s="218"/>
      <c r="F733" s="218"/>
      <c r="G733" s="218"/>
      <c r="H733" s="218">
        <v>0.6</v>
      </c>
      <c r="I733" s="218">
        <v>0.03</v>
      </c>
      <c r="J733" s="218"/>
      <c r="K733" s="218"/>
      <c r="L733" s="218"/>
      <c r="M733" s="273">
        <f>ROUND(-H733*I733,2)</f>
        <v>-0.02</v>
      </c>
    </row>
    <row r="734" spans="1:13" x14ac:dyDescent="0.2">
      <c r="A734" s="231"/>
      <c r="B734" s="9"/>
      <c r="C734" s="7"/>
      <c r="D734" s="8"/>
      <c r="E734" s="218"/>
      <c r="F734" s="218"/>
      <c r="G734" s="218"/>
      <c r="H734" s="218"/>
      <c r="I734" s="218"/>
      <c r="J734" s="218"/>
      <c r="K734" s="218"/>
      <c r="L734" s="218"/>
      <c r="M734" s="273"/>
    </row>
    <row r="735" spans="1:13" x14ac:dyDescent="0.2">
      <c r="A735" s="231"/>
      <c r="B735" s="9"/>
      <c r="C735" s="7" t="s">
        <v>428</v>
      </c>
      <c r="D735" s="8"/>
      <c r="E735" s="218"/>
      <c r="F735" s="218"/>
      <c r="G735" s="218"/>
      <c r="H735" s="218"/>
      <c r="I735" s="218"/>
      <c r="J735" s="218"/>
      <c r="K735" s="218"/>
      <c r="L735" s="218"/>
      <c r="M735" s="273">
        <f>SUM(M736:M737)</f>
        <v>0.18</v>
      </c>
    </row>
    <row r="736" spans="1:13" x14ac:dyDescent="0.2">
      <c r="A736" s="231"/>
      <c r="B736" s="9"/>
      <c r="C736" s="7" t="s">
        <v>711</v>
      </c>
      <c r="D736" s="8"/>
      <c r="E736" s="218"/>
      <c r="F736" s="218"/>
      <c r="G736" s="218">
        <v>7.06</v>
      </c>
      <c r="H736" s="218"/>
      <c r="I736" s="218">
        <v>0.03</v>
      </c>
      <c r="J736" s="218"/>
      <c r="K736" s="218"/>
      <c r="L736" s="218"/>
      <c r="M736" s="273">
        <f>ROUND(G736*I736,2)</f>
        <v>0.21</v>
      </c>
    </row>
    <row r="737" spans="1:13" x14ac:dyDescent="0.2">
      <c r="A737" s="231"/>
      <c r="B737" s="9"/>
      <c r="C737" s="7" t="s">
        <v>709</v>
      </c>
      <c r="D737" s="8"/>
      <c r="E737" s="218"/>
      <c r="F737" s="218"/>
      <c r="G737" s="218"/>
      <c r="H737" s="218">
        <v>1</v>
      </c>
      <c r="I737" s="218">
        <v>0.03</v>
      </c>
      <c r="J737" s="218"/>
      <c r="K737" s="218"/>
      <c r="L737" s="218"/>
      <c r="M737" s="273">
        <f>ROUND(-H737*I737,2)</f>
        <v>-0.03</v>
      </c>
    </row>
    <row r="738" spans="1:13" x14ac:dyDescent="0.2">
      <c r="A738" s="231"/>
      <c r="B738" s="9"/>
      <c r="C738" s="7"/>
      <c r="D738" s="8"/>
      <c r="E738" s="218"/>
      <c r="F738" s="218"/>
      <c r="G738" s="218"/>
      <c r="H738" s="218"/>
      <c r="I738" s="218"/>
      <c r="J738" s="218"/>
      <c r="K738" s="218"/>
      <c r="L738" s="218"/>
      <c r="M738" s="273"/>
    </row>
    <row r="739" spans="1:13" x14ac:dyDescent="0.2">
      <c r="A739" s="231"/>
      <c r="B739" s="9"/>
      <c r="C739" s="7" t="s">
        <v>659</v>
      </c>
      <c r="D739" s="8"/>
      <c r="E739" s="218"/>
      <c r="F739" s="218"/>
      <c r="G739" s="218"/>
      <c r="H739" s="218"/>
      <c r="I739" s="218"/>
      <c r="J739" s="218"/>
      <c r="K739" s="218"/>
      <c r="L739" s="218"/>
      <c r="M739" s="273">
        <f>SUM(M740:M741)</f>
        <v>0.13</v>
      </c>
    </row>
    <row r="740" spans="1:13" x14ac:dyDescent="0.2">
      <c r="A740" s="231"/>
      <c r="B740" s="9"/>
      <c r="C740" s="7" t="s">
        <v>712</v>
      </c>
      <c r="D740" s="8"/>
      <c r="E740" s="218"/>
      <c r="F740" s="218"/>
      <c r="G740" s="218">
        <v>5.05</v>
      </c>
      <c r="H740" s="218"/>
      <c r="I740" s="218">
        <v>0.03</v>
      </c>
      <c r="J740" s="218"/>
      <c r="K740" s="218"/>
      <c r="L740" s="218"/>
      <c r="M740" s="273">
        <f>ROUND(G740*I740,2)</f>
        <v>0.15</v>
      </c>
    </row>
    <row r="741" spans="1:13" x14ac:dyDescent="0.2">
      <c r="A741" s="231"/>
      <c r="B741" s="9"/>
      <c r="C741" s="7" t="s">
        <v>709</v>
      </c>
      <c r="D741" s="8"/>
      <c r="E741" s="218"/>
      <c r="F741" s="218"/>
      <c r="G741" s="218"/>
      <c r="H741" s="218">
        <v>0.6</v>
      </c>
      <c r="I741" s="218">
        <v>0.03</v>
      </c>
      <c r="J741" s="218"/>
      <c r="K741" s="218"/>
      <c r="L741" s="218"/>
      <c r="M741" s="273">
        <f>ROUND(-H741*I741,2)</f>
        <v>-0.02</v>
      </c>
    </row>
    <row r="742" spans="1:13" x14ac:dyDescent="0.2">
      <c r="A742" s="231"/>
      <c r="B742" s="9"/>
      <c r="C742" s="7"/>
      <c r="D742" s="8"/>
      <c r="E742" s="218"/>
      <c r="F742" s="218"/>
      <c r="G742" s="218"/>
      <c r="H742" s="218"/>
      <c r="I742" s="218"/>
      <c r="J742" s="218"/>
      <c r="K742" s="218"/>
      <c r="L742" s="218"/>
      <c r="M742" s="273"/>
    </row>
    <row r="743" spans="1:13" x14ac:dyDescent="0.2">
      <c r="A743" s="231"/>
      <c r="B743" s="9"/>
      <c r="C743" s="7" t="s">
        <v>165</v>
      </c>
      <c r="D743" s="8"/>
      <c r="E743" s="218"/>
      <c r="F743" s="218"/>
      <c r="G743" s="218"/>
      <c r="H743" s="218"/>
      <c r="I743" s="218"/>
      <c r="J743" s="218"/>
      <c r="K743" s="218"/>
      <c r="L743" s="218"/>
      <c r="M743" s="273">
        <f>SUM(M744)</f>
        <v>0.08</v>
      </c>
    </row>
    <row r="744" spans="1:13" x14ac:dyDescent="0.2">
      <c r="A744" s="231"/>
      <c r="B744" s="9"/>
      <c r="C744" s="7" t="s">
        <v>713</v>
      </c>
      <c r="D744" s="8"/>
      <c r="E744" s="218"/>
      <c r="F744" s="218"/>
      <c r="G744" s="218">
        <v>2.73</v>
      </c>
      <c r="H744" s="218"/>
      <c r="I744" s="218">
        <v>0.03</v>
      </c>
      <c r="J744" s="218"/>
      <c r="K744" s="218"/>
      <c r="L744" s="218"/>
      <c r="M744" s="273">
        <f>ROUND(G744*I744,2)</f>
        <v>0.08</v>
      </c>
    </row>
    <row r="745" spans="1:13" x14ac:dyDescent="0.2">
      <c r="A745" s="231"/>
      <c r="B745" s="9"/>
      <c r="C745" s="7"/>
      <c r="D745" s="8"/>
      <c r="E745" s="218"/>
      <c r="F745" s="218"/>
      <c r="G745" s="218"/>
      <c r="H745" s="218"/>
      <c r="I745" s="218"/>
      <c r="J745" s="218"/>
      <c r="K745" s="218"/>
      <c r="L745" s="218"/>
      <c r="M745" s="273"/>
    </row>
    <row r="746" spans="1:13" x14ac:dyDescent="0.2">
      <c r="A746" s="231"/>
      <c r="B746" s="9"/>
      <c r="C746" s="7" t="s">
        <v>152</v>
      </c>
      <c r="D746" s="8"/>
      <c r="E746" s="218"/>
      <c r="F746" s="218"/>
      <c r="G746" s="218"/>
      <c r="H746" s="218"/>
      <c r="I746" s="218"/>
      <c r="J746" s="218"/>
      <c r="K746" s="218"/>
      <c r="L746" s="218"/>
      <c r="M746" s="282">
        <f>SUM(M747,M751,M755)</f>
        <v>0.51</v>
      </c>
    </row>
    <row r="747" spans="1:13" x14ac:dyDescent="0.2">
      <c r="A747" s="231"/>
      <c r="B747" s="9"/>
      <c r="C747" s="7" t="s">
        <v>714</v>
      </c>
      <c r="D747" s="8"/>
      <c r="E747" s="218"/>
      <c r="F747" s="218"/>
      <c r="G747" s="218"/>
      <c r="H747" s="218"/>
      <c r="I747" s="218"/>
      <c r="J747" s="218"/>
      <c r="K747" s="218"/>
      <c r="L747" s="218"/>
      <c r="M747" s="273">
        <f>SUM(M748:M749)</f>
        <v>0.17</v>
      </c>
    </row>
    <row r="748" spans="1:13" x14ac:dyDescent="0.2">
      <c r="A748" s="231"/>
      <c r="B748" s="9"/>
      <c r="C748" s="7" t="s">
        <v>715</v>
      </c>
      <c r="D748" s="8"/>
      <c r="E748" s="218"/>
      <c r="F748" s="218"/>
      <c r="G748" s="218">
        <v>6.2</v>
      </c>
      <c r="H748" s="218"/>
      <c r="I748" s="218">
        <v>0.03</v>
      </c>
      <c r="J748" s="218"/>
      <c r="K748" s="218"/>
      <c r="L748" s="218"/>
      <c r="M748" s="273">
        <f>ROUND(G748*I748,2)</f>
        <v>0.19</v>
      </c>
    </row>
    <row r="749" spans="1:13" x14ac:dyDescent="0.2">
      <c r="A749" s="231"/>
      <c r="B749" s="9"/>
      <c r="C749" s="7" t="s">
        <v>709</v>
      </c>
      <c r="D749" s="8"/>
      <c r="E749" s="218"/>
      <c r="F749" s="218"/>
      <c r="G749" s="218"/>
      <c r="H749" s="218">
        <v>0.6</v>
      </c>
      <c r="I749" s="218">
        <v>0.03</v>
      </c>
      <c r="J749" s="218"/>
      <c r="K749" s="218"/>
      <c r="L749" s="218"/>
      <c r="M749" s="273">
        <f>ROUND(-H749*I749,2)</f>
        <v>-0.02</v>
      </c>
    </row>
    <row r="750" spans="1:13" x14ac:dyDescent="0.2">
      <c r="A750" s="231"/>
      <c r="B750" s="9"/>
      <c r="C750" s="7"/>
      <c r="D750" s="8"/>
      <c r="E750" s="218"/>
      <c r="F750" s="218"/>
      <c r="G750" s="218"/>
      <c r="H750" s="218"/>
      <c r="I750" s="218"/>
      <c r="J750" s="218"/>
      <c r="K750" s="218"/>
      <c r="L750" s="218"/>
      <c r="M750" s="273"/>
    </row>
    <row r="751" spans="1:13" x14ac:dyDescent="0.2">
      <c r="A751" s="231"/>
      <c r="B751" s="9"/>
      <c r="C751" s="7" t="s">
        <v>716</v>
      </c>
      <c r="D751" s="8"/>
      <c r="E751" s="218"/>
      <c r="F751" s="218"/>
      <c r="G751" s="218"/>
      <c r="H751" s="218"/>
      <c r="I751" s="218"/>
      <c r="J751" s="218"/>
      <c r="K751" s="218"/>
      <c r="L751" s="218"/>
      <c r="M751" s="273">
        <f>SUM(M752:M753)</f>
        <v>0.26</v>
      </c>
    </row>
    <row r="752" spans="1:13" x14ac:dyDescent="0.2">
      <c r="A752" s="231"/>
      <c r="B752" s="9"/>
      <c r="C752" s="7" t="s">
        <v>717</v>
      </c>
      <c r="D752" s="8"/>
      <c r="E752" s="218">
        <v>2</v>
      </c>
      <c r="F752" s="218"/>
      <c r="G752" s="218">
        <v>9.4</v>
      </c>
      <c r="H752" s="218"/>
      <c r="I752" s="218">
        <v>0.03</v>
      </c>
      <c r="J752" s="218"/>
      <c r="K752" s="218"/>
      <c r="L752" s="218"/>
      <c r="M752" s="273">
        <f>ROUND(G752*I752,2)</f>
        <v>0.28000000000000003</v>
      </c>
    </row>
    <row r="753" spans="1:13" x14ac:dyDescent="0.2">
      <c r="A753" s="231"/>
      <c r="B753" s="9"/>
      <c r="C753" s="7" t="s">
        <v>648</v>
      </c>
      <c r="D753" s="8"/>
      <c r="E753" s="218">
        <v>2</v>
      </c>
      <c r="F753" s="218"/>
      <c r="G753" s="218"/>
      <c r="H753" s="218">
        <v>0.6</v>
      </c>
      <c r="I753" s="218">
        <v>0.03</v>
      </c>
      <c r="J753" s="218"/>
      <c r="K753" s="218"/>
      <c r="L753" s="218"/>
      <c r="M753" s="273">
        <f>ROUND(-H753*I753,2)</f>
        <v>-0.02</v>
      </c>
    </row>
    <row r="754" spans="1:13" x14ac:dyDescent="0.2">
      <c r="A754" s="231"/>
      <c r="B754" s="9"/>
      <c r="C754" s="7"/>
      <c r="D754" s="8"/>
      <c r="E754" s="218"/>
      <c r="F754" s="218"/>
      <c r="G754" s="218"/>
      <c r="H754" s="218"/>
      <c r="I754" s="218"/>
      <c r="J754" s="218"/>
      <c r="K754" s="218"/>
      <c r="L754" s="218"/>
      <c r="M754" s="273"/>
    </row>
    <row r="755" spans="1:13" x14ac:dyDescent="0.2">
      <c r="A755" s="231"/>
      <c r="B755" s="9"/>
      <c r="C755" s="7" t="s">
        <v>171</v>
      </c>
      <c r="D755" s="8"/>
      <c r="E755" s="218"/>
      <c r="F755" s="218"/>
      <c r="G755" s="218"/>
      <c r="H755" s="218"/>
      <c r="I755" s="218"/>
      <c r="J755" s="218"/>
      <c r="K755" s="218"/>
      <c r="L755" s="218"/>
      <c r="M755" s="273">
        <f>SUM(M756)</f>
        <v>0.08</v>
      </c>
    </row>
    <row r="756" spans="1:13" x14ac:dyDescent="0.2">
      <c r="A756" s="231"/>
      <c r="B756" s="9"/>
      <c r="C756" s="7" t="s">
        <v>718</v>
      </c>
      <c r="D756" s="8"/>
      <c r="E756" s="218"/>
      <c r="F756" s="218"/>
      <c r="G756" s="218">
        <v>2.5499999999999998</v>
      </c>
      <c r="H756" s="218"/>
      <c r="I756" s="218">
        <v>0.03</v>
      </c>
      <c r="J756" s="218"/>
      <c r="K756" s="218"/>
      <c r="L756" s="218"/>
      <c r="M756" s="273">
        <f>ROUND(G756*I756,2)</f>
        <v>0.08</v>
      </c>
    </row>
    <row r="757" spans="1:13" x14ac:dyDescent="0.2">
      <c r="A757" s="231"/>
      <c r="B757" s="9"/>
      <c r="C757" s="7"/>
      <c r="D757" s="8"/>
      <c r="E757" s="218"/>
      <c r="F757" s="218"/>
      <c r="G757" s="218"/>
      <c r="H757" s="218"/>
      <c r="I757" s="218"/>
      <c r="J757" s="218"/>
      <c r="K757" s="218"/>
      <c r="L757" s="218"/>
      <c r="M757" s="273"/>
    </row>
    <row r="758" spans="1:13" x14ac:dyDescent="0.2">
      <c r="A758" s="231"/>
      <c r="B758" s="9"/>
      <c r="C758" s="7"/>
      <c r="D758" s="8"/>
      <c r="E758" s="218"/>
      <c r="F758" s="218"/>
      <c r="G758" s="218"/>
      <c r="H758" s="218"/>
      <c r="I758" s="218"/>
      <c r="J758" s="218"/>
      <c r="K758" s="218"/>
      <c r="L758" s="218"/>
      <c r="M758" s="273"/>
    </row>
    <row r="759" spans="1:13" x14ac:dyDescent="0.2">
      <c r="A759" s="274"/>
      <c r="B759" s="29" t="s">
        <v>12</v>
      </c>
      <c r="C759" s="30" t="s">
        <v>103</v>
      </c>
      <c r="D759" s="31"/>
      <c r="E759" s="31"/>
      <c r="F759" s="31"/>
      <c r="G759" s="31"/>
      <c r="H759" s="31"/>
      <c r="I759" s="31"/>
      <c r="J759" s="31"/>
      <c r="K759" s="31"/>
      <c r="L759" s="31"/>
      <c r="M759" s="275"/>
    </row>
    <row r="760" spans="1:13" s="144" customFormat="1" ht="48" x14ac:dyDescent="0.2">
      <c r="A760" s="238" t="s">
        <v>104</v>
      </c>
      <c r="B760" s="131" t="s">
        <v>309</v>
      </c>
      <c r="C760" s="132" t="s">
        <v>105</v>
      </c>
      <c r="D760" s="145" t="s">
        <v>17</v>
      </c>
      <c r="E760" s="142"/>
      <c r="F760" s="142"/>
      <c r="G760" s="142"/>
      <c r="H760" s="142"/>
      <c r="I760" s="142"/>
      <c r="J760" s="142"/>
      <c r="K760" s="142"/>
      <c r="L760" s="142"/>
      <c r="M760" s="284">
        <f>ROUND(SUM(M761),2)</f>
        <v>100.8</v>
      </c>
    </row>
    <row r="761" spans="1:13" x14ac:dyDescent="0.2">
      <c r="A761" s="231"/>
      <c r="B761" s="9"/>
      <c r="C761" s="7"/>
      <c r="D761" s="17"/>
      <c r="E761" s="218">
        <v>14</v>
      </c>
      <c r="F761" s="218">
        <v>4.5</v>
      </c>
      <c r="G761" s="218"/>
      <c r="H761" s="218"/>
      <c r="I761" s="218">
        <v>1.6</v>
      </c>
      <c r="J761" s="218"/>
      <c r="K761" s="218"/>
      <c r="L761" s="218"/>
      <c r="M761" s="273">
        <f>ROUND(E761*F761*I761,2)</f>
        <v>100.8</v>
      </c>
    </row>
    <row r="762" spans="1:13" x14ac:dyDescent="0.2">
      <c r="A762" s="231"/>
      <c r="B762" s="9"/>
      <c r="C762" s="7"/>
      <c r="D762" s="17"/>
      <c r="E762" s="218"/>
      <c r="F762" s="218"/>
      <c r="G762" s="218"/>
      <c r="H762" s="218"/>
      <c r="I762" s="218"/>
      <c r="J762" s="218"/>
      <c r="K762" s="218"/>
      <c r="L762" s="218"/>
      <c r="M762" s="273"/>
    </row>
    <row r="763" spans="1:13" x14ac:dyDescent="0.2">
      <c r="A763" s="231"/>
      <c r="B763" s="9"/>
      <c r="C763" s="7"/>
      <c r="D763" s="17"/>
      <c r="E763" s="218"/>
      <c r="F763" s="218"/>
      <c r="G763" s="218"/>
      <c r="H763" s="218"/>
      <c r="I763" s="218"/>
      <c r="J763" s="218"/>
      <c r="K763" s="218"/>
      <c r="L763" s="218"/>
      <c r="M763" s="273"/>
    </row>
    <row r="764" spans="1:13" ht="36" x14ac:dyDescent="0.2">
      <c r="A764" s="231" t="s">
        <v>656</v>
      </c>
      <c r="B764" s="9" t="s">
        <v>362</v>
      </c>
      <c r="C764" s="7" t="s">
        <v>657</v>
      </c>
      <c r="D764" s="17" t="s">
        <v>17</v>
      </c>
      <c r="E764" s="218"/>
      <c r="F764" s="218"/>
      <c r="G764" s="218"/>
      <c r="H764" s="218"/>
      <c r="I764" s="218"/>
      <c r="J764" s="218"/>
      <c r="K764" s="218"/>
      <c r="L764" s="218"/>
      <c r="M764" s="272">
        <f>SUM(M765:M773)</f>
        <v>16.001799999999999</v>
      </c>
    </row>
    <row r="765" spans="1:13" x14ac:dyDescent="0.2">
      <c r="A765" s="231"/>
      <c r="B765" s="9"/>
      <c r="C765" s="7" t="s">
        <v>150</v>
      </c>
      <c r="D765" s="17"/>
      <c r="E765" s="218"/>
      <c r="F765" s="218"/>
      <c r="G765" s="218"/>
      <c r="H765" s="218"/>
      <c r="I765" s="218"/>
      <c r="J765" s="218"/>
      <c r="K765" s="218"/>
      <c r="L765" s="218"/>
      <c r="M765" s="282">
        <f>SUM(M766)</f>
        <v>1.1054999999999999</v>
      </c>
    </row>
    <row r="766" spans="1:13" x14ac:dyDescent="0.2">
      <c r="A766" s="231"/>
      <c r="B766" s="9"/>
      <c r="C766" s="7" t="s">
        <v>658</v>
      </c>
      <c r="D766" s="17"/>
      <c r="E766" s="218"/>
      <c r="F766" s="218">
        <v>1.65</v>
      </c>
      <c r="G766" s="218"/>
      <c r="H766" s="218">
        <v>0.67</v>
      </c>
      <c r="I766" s="218"/>
      <c r="J766" s="218"/>
      <c r="K766" s="218"/>
      <c r="L766" s="218"/>
      <c r="M766" s="273">
        <f>F766*H766</f>
        <v>1.1054999999999999</v>
      </c>
    </row>
    <row r="767" spans="1:13" x14ac:dyDescent="0.2">
      <c r="A767" s="231"/>
      <c r="B767" s="9"/>
      <c r="C767" s="7"/>
      <c r="D767" s="17"/>
      <c r="E767" s="218"/>
      <c r="F767" s="218"/>
      <c r="G767" s="218"/>
      <c r="H767" s="218"/>
      <c r="I767" s="218"/>
      <c r="J767" s="218"/>
      <c r="K767" s="218"/>
      <c r="L767" s="218"/>
      <c r="M767" s="273"/>
    </row>
    <row r="768" spans="1:13" x14ac:dyDescent="0.2">
      <c r="A768" s="231"/>
      <c r="B768" s="9"/>
      <c r="C768" s="7" t="s">
        <v>151</v>
      </c>
      <c r="D768" s="17"/>
      <c r="E768" s="218"/>
      <c r="F768" s="218"/>
      <c r="G768" s="218"/>
      <c r="H768" s="218"/>
      <c r="I768" s="218"/>
      <c r="J768" s="218"/>
      <c r="K768" s="218"/>
      <c r="L768" s="218"/>
      <c r="M768" s="282">
        <f>SUM(M769)</f>
        <v>1.365</v>
      </c>
    </row>
    <row r="769" spans="1:13" x14ac:dyDescent="0.2">
      <c r="A769" s="231"/>
      <c r="B769" s="9"/>
      <c r="C769" s="7" t="s">
        <v>165</v>
      </c>
      <c r="D769" s="17"/>
      <c r="E769" s="218"/>
      <c r="F769" s="218">
        <v>1.95</v>
      </c>
      <c r="G769" s="218"/>
      <c r="H769" s="218">
        <v>0.7</v>
      </c>
      <c r="I769" s="218"/>
      <c r="J769" s="218"/>
      <c r="K769" s="218"/>
      <c r="L769" s="218"/>
      <c r="M769" s="273">
        <f>F769*H769</f>
        <v>1.365</v>
      </c>
    </row>
    <row r="770" spans="1:13" x14ac:dyDescent="0.2">
      <c r="A770" s="231"/>
      <c r="B770" s="9"/>
      <c r="C770" s="7"/>
      <c r="D770" s="17"/>
      <c r="E770" s="218"/>
      <c r="F770" s="218"/>
      <c r="G770" s="218"/>
      <c r="H770" s="218"/>
      <c r="I770" s="218"/>
      <c r="J770" s="218"/>
      <c r="K770" s="218"/>
      <c r="L770" s="218"/>
      <c r="M770" s="273"/>
    </row>
    <row r="771" spans="1:13" x14ac:dyDescent="0.2">
      <c r="A771" s="231"/>
      <c r="B771" s="9"/>
      <c r="C771" s="7" t="s">
        <v>152</v>
      </c>
      <c r="D771" s="17"/>
      <c r="E771" s="218"/>
      <c r="F771" s="218"/>
      <c r="G771" s="218"/>
      <c r="H771" s="218"/>
      <c r="I771" s="218"/>
      <c r="J771" s="218"/>
      <c r="K771" s="218"/>
      <c r="L771" s="218"/>
      <c r="M771" s="282">
        <f>SUM(M772:M773)</f>
        <v>5.5304000000000002</v>
      </c>
    </row>
    <row r="772" spans="1:13" x14ac:dyDescent="0.2">
      <c r="A772" s="231"/>
      <c r="B772" s="9"/>
      <c r="C772" s="7" t="s">
        <v>171</v>
      </c>
      <c r="D772" s="17"/>
      <c r="E772" s="218"/>
      <c r="F772" s="218">
        <v>1.78</v>
      </c>
      <c r="G772" s="218"/>
      <c r="H772" s="218">
        <v>0.68</v>
      </c>
      <c r="I772" s="218"/>
      <c r="J772" s="218"/>
      <c r="K772" s="218"/>
      <c r="L772" s="218"/>
      <c r="M772" s="273">
        <f>F772*H772</f>
        <v>1.2104000000000001</v>
      </c>
    </row>
    <row r="773" spans="1:13" x14ac:dyDescent="0.2">
      <c r="A773" s="231"/>
      <c r="B773" s="9"/>
      <c r="C773" s="7" t="s">
        <v>441</v>
      </c>
      <c r="D773" s="17"/>
      <c r="E773" s="218">
        <v>4</v>
      </c>
      <c r="F773" s="218">
        <v>1.8</v>
      </c>
      <c r="G773" s="218"/>
      <c r="H773" s="218">
        <v>0.6</v>
      </c>
      <c r="I773" s="218"/>
      <c r="J773" s="218"/>
      <c r="K773" s="218"/>
      <c r="L773" s="218"/>
      <c r="M773" s="273">
        <f>E773*F773*H773</f>
        <v>4.32</v>
      </c>
    </row>
    <row r="774" spans="1:13" x14ac:dyDescent="0.2">
      <c r="A774" s="231"/>
      <c r="B774" s="9"/>
      <c r="C774" s="7"/>
      <c r="D774" s="17"/>
      <c r="E774" s="218"/>
      <c r="F774" s="218"/>
      <c r="G774" s="218"/>
      <c r="H774" s="218"/>
      <c r="I774" s="218"/>
      <c r="J774" s="218"/>
      <c r="K774" s="218"/>
      <c r="L774" s="218"/>
      <c r="M774" s="273"/>
    </row>
    <row r="775" spans="1:13" ht="108" x14ac:dyDescent="0.2">
      <c r="A775" s="231" t="s">
        <v>1162</v>
      </c>
      <c r="B775" s="9" t="s">
        <v>798</v>
      </c>
      <c r="C775" s="7" t="s">
        <v>1163</v>
      </c>
      <c r="D775" s="17" t="s">
        <v>16</v>
      </c>
      <c r="E775" s="218"/>
      <c r="F775" s="218"/>
      <c r="G775" s="218"/>
      <c r="H775" s="218"/>
      <c r="I775" s="218"/>
      <c r="J775" s="218"/>
      <c r="K775" s="218"/>
      <c r="L775" s="218"/>
      <c r="M775" s="284">
        <f>ROUND(SUM(M776,M779,M782),2)</f>
        <v>7</v>
      </c>
    </row>
    <row r="776" spans="1:13" x14ac:dyDescent="0.2">
      <c r="A776" s="231"/>
      <c r="B776" s="9"/>
      <c r="C776" s="7" t="s">
        <v>150</v>
      </c>
      <c r="D776" s="17"/>
      <c r="E776" s="218"/>
      <c r="F776" s="218"/>
      <c r="G776" s="218"/>
      <c r="H776" s="218"/>
      <c r="I776" s="218"/>
      <c r="J776" s="218"/>
      <c r="K776" s="218"/>
      <c r="L776" s="218"/>
      <c r="M776" s="273">
        <f>SUM(M777)</f>
        <v>1</v>
      </c>
    </row>
    <row r="777" spans="1:13" x14ac:dyDescent="0.2">
      <c r="A777" s="231"/>
      <c r="B777" s="9"/>
      <c r="C777" s="7" t="s">
        <v>658</v>
      </c>
      <c r="D777" s="17"/>
      <c r="E777" s="218">
        <v>1</v>
      </c>
      <c r="F777" s="218"/>
      <c r="G777" s="218"/>
      <c r="H777" s="218"/>
      <c r="I777" s="218"/>
      <c r="J777" s="218"/>
      <c r="K777" s="218"/>
      <c r="L777" s="218"/>
      <c r="M777" s="273">
        <f>E777</f>
        <v>1</v>
      </c>
    </row>
    <row r="778" spans="1:13" x14ac:dyDescent="0.2">
      <c r="A778" s="231"/>
      <c r="B778" s="9"/>
      <c r="C778" s="7"/>
      <c r="D778" s="17"/>
      <c r="E778" s="218"/>
      <c r="F778" s="218"/>
      <c r="G778" s="218"/>
      <c r="H778" s="218"/>
      <c r="I778" s="218"/>
      <c r="J778" s="218"/>
      <c r="K778" s="218"/>
      <c r="L778" s="218"/>
      <c r="M778" s="273"/>
    </row>
    <row r="779" spans="1:13" x14ac:dyDescent="0.2">
      <c r="A779" s="231"/>
      <c r="B779" s="9"/>
      <c r="C779" s="7" t="s">
        <v>151</v>
      </c>
      <c r="D779" s="17"/>
      <c r="E779" s="218"/>
      <c r="F779" s="218"/>
      <c r="G779" s="218"/>
      <c r="H779" s="218"/>
      <c r="I779" s="218"/>
      <c r="J779" s="218"/>
      <c r="K779" s="218"/>
      <c r="L779" s="218"/>
      <c r="M779" s="273">
        <f>SUM(M780)</f>
        <v>1</v>
      </c>
    </row>
    <row r="780" spans="1:13" x14ac:dyDescent="0.2">
      <c r="A780" s="231"/>
      <c r="B780" s="9"/>
      <c r="C780" s="7" t="s">
        <v>165</v>
      </c>
      <c r="D780" s="17"/>
      <c r="E780" s="218">
        <v>1</v>
      </c>
      <c r="F780" s="218"/>
      <c r="G780" s="218"/>
      <c r="H780" s="218"/>
      <c r="I780" s="218"/>
      <c r="J780" s="218"/>
      <c r="K780" s="218"/>
      <c r="L780" s="218"/>
      <c r="M780" s="273">
        <f>E780</f>
        <v>1</v>
      </c>
    </row>
    <row r="781" spans="1:13" x14ac:dyDescent="0.2">
      <c r="A781" s="231"/>
      <c r="B781" s="9"/>
      <c r="C781" s="7"/>
      <c r="D781" s="17"/>
      <c r="E781" s="218"/>
      <c r="F781" s="218"/>
      <c r="G781" s="218"/>
      <c r="H781" s="218"/>
      <c r="I781" s="218"/>
      <c r="J781" s="218"/>
      <c r="K781" s="218"/>
      <c r="L781" s="218"/>
      <c r="M781" s="273"/>
    </row>
    <row r="782" spans="1:13" x14ac:dyDescent="0.2">
      <c r="A782" s="231"/>
      <c r="B782" s="9"/>
      <c r="C782" s="7" t="s">
        <v>152</v>
      </c>
      <c r="D782" s="17"/>
      <c r="E782" s="218"/>
      <c r="F782" s="218"/>
      <c r="G782" s="218"/>
      <c r="H782" s="218"/>
      <c r="I782" s="218"/>
      <c r="J782" s="218"/>
      <c r="K782" s="218"/>
      <c r="L782" s="218"/>
      <c r="M782" s="273">
        <f>SUM(M783:M784)</f>
        <v>5</v>
      </c>
    </row>
    <row r="783" spans="1:13" x14ac:dyDescent="0.2">
      <c r="A783" s="231"/>
      <c r="B783" s="9"/>
      <c r="C783" s="7" t="s">
        <v>171</v>
      </c>
      <c r="D783" s="17"/>
      <c r="E783" s="218">
        <v>1</v>
      </c>
      <c r="F783" s="218"/>
      <c r="G783" s="218"/>
      <c r="H783" s="218"/>
      <c r="I783" s="218"/>
      <c r="J783" s="218"/>
      <c r="K783" s="218"/>
      <c r="L783" s="218"/>
      <c r="M783" s="273">
        <f>E783</f>
        <v>1</v>
      </c>
    </row>
    <row r="784" spans="1:13" x14ac:dyDescent="0.2">
      <c r="A784" s="231"/>
      <c r="B784" s="9"/>
      <c r="C784" s="7" t="s">
        <v>441</v>
      </c>
      <c r="D784" s="17"/>
      <c r="E784" s="218">
        <v>4</v>
      </c>
      <c r="F784" s="218"/>
      <c r="G784" s="218"/>
      <c r="H784" s="218"/>
      <c r="I784" s="218"/>
      <c r="J784" s="218"/>
      <c r="K784" s="218"/>
      <c r="L784" s="218"/>
      <c r="M784" s="273">
        <f>E784</f>
        <v>4</v>
      </c>
    </row>
    <row r="785" spans="1:13" x14ac:dyDescent="0.2">
      <c r="A785" s="231"/>
      <c r="B785" s="9"/>
      <c r="C785" s="7"/>
      <c r="D785" s="17"/>
      <c r="E785" s="218"/>
      <c r="F785" s="218"/>
      <c r="G785" s="218"/>
      <c r="H785" s="218"/>
      <c r="I785" s="218"/>
      <c r="J785" s="218"/>
      <c r="K785" s="218"/>
      <c r="L785" s="218"/>
      <c r="M785" s="273"/>
    </row>
    <row r="786" spans="1:13" x14ac:dyDescent="0.2">
      <c r="A786" s="240" t="s">
        <v>799</v>
      </c>
      <c r="B786" s="9" t="s">
        <v>1164</v>
      </c>
      <c r="C786" s="7" t="s">
        <v>800</v>
      </c>
      <c r="D786" s="17" t="s">
        <v>17</v>
      </c>
      <c r="E786" s="218"/>
      <c r="F786" s="218"/>
      <c r="G786" s="218"/>
      <c r="H786" s="218"/>
      <c r="I786" s="218"/>
      <c r="J786" s="218"/>
      <c r="K786" s="218"/>
      <c r="L786" s="218"/>
      <c r="M786" s="284">
        <f>ROUND(SUM(M787),2)</f>
        <v>100.8</v>
      </c>
    </row>
    <row r="787" spans="1:13" x14ac:dyDescent="0.2">
      <c r="A787" s="231"/>
      <c r="B787" s="9"/>
      <c r="C787" s="7"/>
      <c r="D787" s="17"/>
      <c r="E787" s="218">
        <v>14</v>
      </c>
      <c r="F787" s="218">
        <v>4.5</v>
      </c>
      <c r="G787" s="218"/>
      <c r="H787" s="218"/>
      <c r="I787" s="218">
        <v>1.6</v>
      </c>
      <c r="J787" s="218"/>
      <c r="K787" s="218"/>
      <c r="L787" s="218"/>
      <c r="M787" s="273">
        <f>ROUND(E787*F787*I787,2)</f>
        <v>100.8</v>
      </c>
    </row>
    <row r="788" spans="1:13" x14ac:dyDescent="0.2">
      <c r="A788" s="236"/>
      <c r="B788" s="344"/>
      <c r="C788" s="345"/>
      <c r="D788" s="348"/>
      <c r="E788" s="347"/>
      <c r="F788" s="347"/>
      <c r="G788" s="347"/>
      <c r="H788" s="347"/>
      <c r="I788" s="347"/>
      <c r="J788" s="347"/>
      <c r="K788" s="347"/>
      <c r="L788" s="347"/>
      <c r="M788" s="342"/>
    </row>
    <row r="789" spans="1:13" x14ac:dyDescent="0.2">
      <c r="A789" s="274"/>
      <c r="B789" s="29" t="s">
        <v>13</v>
      </c>
      <c r="C789" s="30" t="s">
        <v>114</v>
      </c>
      <c r="D789" s="31"/>
      <c r="E789" s="31"/>
      <c r="F789" s="31"/>
      <c r="G789" s="31"/>
      <c r="H789" s="31"/>
      <c r="I789" s="31"/>
      <c r="J789" s="31"/>
      <c r="K789" s="31"/>
      <c r="L789" s="31"/>
      <c r="M789" s="275"/>
    </row>
    <row r="790" spans="1:13" ht="72" x14ac:dyDescent="0.2">
      <c r="A790" s="231" t="s">
        <v>107</v>
      </c>
      <c r="B790" s="9" t="s">
        <v>310</v>
      </c>
      <c r="C790" s="7" t="s">
        <v>108</v>
      </c>
      <c r="D790" s="17" t="s">
        <v>16</v>
      </c>
      <c r="E790" s="23"/>
      <c r="F790" s="218"/>
      <c r="G790" s="218"/>
      <c r="H790" s="218"/>
      <c r="I790" s="218"/>
      <c r="J790" s="218"/>
      <c r="K790" s="218"/>
      <c r="L790" s="218"/>
      <c r="M790" s="272">
        <f>SUM(M791)</f>
        <v>1</v>
      </c>
    </row>
    <row r="791" spans="1:13" x14ac:dyDescent="0.2">
      <c r="A791" s="231"/>
      <c r="B791" s="9"/>
      <c r="C791" s="7" t="s">
        <v>152</v>
      </c>
      <c r="D791" s="17"/>
      <c r="E791" s="218"/>
      <c r="F791" s="218"/>
      <c r="G791" s="218"/>
      <c r="H791" s="218"/>
      <c r="I791" s="218"/>
      <c r="J791" s="218"/>
      <c r="K791" s="218"/>
      <c r="L791" s="218"/>
      <c r="M791" s="277">
        <f>SUM(M792)</f>
        <v>1</v>
      </c>
    </row>
    <row r="792" spans="1:13" ht="14.25" customHeight="1" x14ac:dyDescent="0.2">
      <c r="A792" s="231"/>
      <c r="B792" s="9"/>
      <c r="C792" s="7" t="s">
        <v>171</v>
      </c>
      <c r="D792" s="17"/>
      <c r="E792" s="218">
        <v>1</v>
      </c>
      <c r="F792" s="218"/>
      <c r="G792" s="218"/>
      <c r="H792" s="218"/>
      <c r="I792" s="218"/>
      <c r="J792" s="218"/>
      <c r="K792" s="218"/>
      <c r="L792" s="218"/>
      <c r="M792" s="281">
        <f>E792</f>
        <v>1</v>
      </c>
    </row>
    <row r="793" spans="1:13" ht="14.25" customHeight="1" x14ac:dyDescent="0.2">
      <c r="A793" s="231"/>
      <c r="B793" s="9"/>
      <c r="C793" s="7"/>
      <c r="D793" s="17"/>
      <c r="E793" s="218"/>
      <c r="F793" s="218"/>
      <c r="G793" s="218"/>
      <c r="H793" s="218"/>
      <c r="I793" s="218"/>
      <c r="J793" s="218"/>
      <c r="K793" s="218"/>
      <c r="L793" s="218"/>
      <c r="M793" s="281"/>
    </row>
    <row r="794" spans="1:13" ht="14.25" customHeight="1" x14ac:dyDescent="0.2">
      <c r="A794" s="231"/>
      <c r="B794" s="9"/>
      <c r="C794" s="7"/>
      <c r="D794" s="17"/>
      <c r="E794" s="218"/>
      <c r="F794" s="218"/>
      <c r="G794" s="218"/>
      <c r="H794" s="218"/>
      <c r="I794" s="218"/>
      <c r="J794" s="218"/>
      <c r="K794" s="218"/>
      <c r="L794" s="218"/>
      <c r="M794" s="281"/>
    </row>
    <row r="795" spans="1:13" ht="14.25" customHeight="1" x14ac:dyDescent="0.2">
      <c r="A795" s="231"/>
      <c r="B795" s="9"/>
      <c r="C795" s="7"/>
      <c r="D795" s="17"/>
      <c r="E795" s="218"/>
      <c r="F795" s="218"/>
      <c r="G795" s="218"/>
      <c r="H795" s="218"/>
      <c r="I795" s="218"/>
      <c r="J795" s="218"/>
      <c r="K795" s="218"/>
      <c r="L795" s="218"/>
      <c r="M795" s="277"/>
    </row>
    <row r="796" spans="1:13" ht="14.25" customHeight="1" x14ac:dyDescent="0.2">
      <c r="A796" s="231" t="s">
        <v>111</v>
      </c>
      <c r="B796" s="9" t="s">
        <v>363</v>
      </c>
      <c r="C796" s="7" t="s">
        <v>112</v>
      </c>
      <c r="D796" s="17" t="s">
        <v>16</v>
      </c>
      <c r="E796" s="23"/>
      <c r="F796" s="218"/>
      <c r="G796" s="218"/>
      <c r="H796" s="218"/>
      <c r="I796" s="218"/>
      <c r="J796" s="218"/>
      <c r="K796" s="218"/>
      <c r="L796" s="218"/>
      <c r="M796" s="272">
        <f>SUM(M797,M803)</f>
        <v>7</v>
      </c>
    </row>
    <row r="797" spans="1:13" x14ac:dyDescent="0.2">
      <c r="A797" s="231"/>
      <c r="B797" s="9"/>
      <c r="C797" s="7" t="s">
        <v>151</v>
      </c>
      <c r="D797" s="17"/>
      <c r="E797" s="218"/>
      <c r="F797" s="218"/>
      <c r="G797" s="218"/>
      <c r="H797" s="218"/>
      <c r="I797" s="218"/>
      <c r="J797" s="218"/>
      <c r="K797" s="218"/>
      <c r="L797" s="218"/>
      <c r="M797" s="277">
        <f>SUM(M798:M801)</f>
        <v>4</v>
      </c>
    </row>
    <row r="798" spans="1:13" x14ac:dyDescent="0.2">
      <c r="A798" s="231"/>
      <c r="B798" s="9"/>
      <c r="C798" s="7" t="s">
        <v>437</v>
      </c>
      <c r="D798" s="17"/>
      <c r="E798" s="218">
        <v>1</v>
      </c>
      <c r="F798" s="218"/>
      <c r="G798" s="218"/>
      <c r="H798" s="218"/>
      <c r="I798" s="218"/>
      <c r="J798" s="218"/>
      <c r="K798" s="218"/>
      <c r="L798" s="218"/>
      <c r="M798" s="281">
        <f>E798</f>
        <v>1</v>
      </c>
    </row>
    <row r="799" spans="1:13" x14ac:dyDescent="0.2">
      <c r="A799" s="231"/>
      <c r="B799" s="9"/>
      <c r="C799" s="7" t="s">
        <v>438</v>
      </c>
      <c r="D799" s="17"/>
      <c r="E799" s="218">
        <v>1</v>
      </c>
      <c r="F799" s="218"/>
      <c r="G799" s="218"/>
      <c r="H799" s="218"/>
      <c r="I799" s="218"/>
      <c r="J799" s="218"/>
      <c r="K799" s="218"/>
      <c r="L799" s="218"/>
      <c r="M799" s="281">
        <f>E799</f>
        <v>1</v>
      </c>
    </row>
    <row r="800" spans="1:13" x14ac:dyDescent="0.2">
      <c r="A800" s="231"/>
      <c r="B800" s="9"/>
      <c r="C800" s="7" t="s">
        <v>428</v>
      </c>
      <c r="D800" s="17"/>
      <c r="E800" s="218">
        <v>1</v>
      </c>
      <c r="F800" s="218"/>
      <c r="G800" s="218"/>
      <c r="H800" s="218"/>
      <c r="I800" s="218"/>
      <c r="J800" s="218"/>
      <c r="K800" s="218"/>
      <c r="L800" s="218"/>
      <c r="M800" s="281">
        <f>E800</f>
        <v>1</v>
      </c>
    </row>
    <row r="801" spans="1:13" x14ac:dyDescent="0.2">
      <c r="A801" s="231"/>
      <c r="B801" s="9"/>
      <c r="C801" s="7" t="s">
        <v>659</v>
      </c>
      <c r="D801" s="17"/>
      <c r="E801" s="218">
        <v>1</v>
      </c>
      <c r="F801" s="218"/>
      <c r="G801" s="218"/>
      <c r="H801" s="218"/>
      <c r="I801" s="218"/>
      <c r="J801" s="218"/>
      <c r="K801" s="218"/>
      <c r="L801" s="218"/>
      <c r="M801" s="281">
        <f>E801</f>
        <v>1</v>
      </c>
    </row>
    <row r="802" spans="1:13" x14ac:dyDescent="0.2">
      <c r="A802" s="231"/>
      <c r="B802" s="9"/>
      <c r="C802" s="7"/>
      <c r="D802" s="17"/>
      <c r="E802" s="218"/>
      <c r="F802" s="218"/>
      <c r="G802" s="218"/>
      <c r="H802" s="218"/>
      <c r="I802" s="218"/>
      <c r="J802" s="218"/>
      <c r="K802" s="218"/>
      <c r="L802" s="218"/>
      <c r="M802" s="281"/>
    </row>
    <row r="803" spans="1:13" x14ac:dyDescent="0.2">
      <c r="A803" s="231"/>
      <c r="B803" s="9"/>
      <c r="C803" s="7" t="s">
        <v>152</v>
      </c>
      <c r="D803" s="17"/>
      <c r="E803" s="218"/>
      <c r="F803" s="218"/>
      <c r="G803" s="218"/>
      <c r="H803" s="218"/>
      <c r="I803" s="218"/>
      <c r="J803" s="218"/>
      <c r="K803" s="218"/>
      <c r="L803" s="218"/>
      <c r="M803" s="277">
        <f>SUM(M804:M805)</f>
        <v>3</v>
      </c>
    </row>
    <row r="804" spans="1:13" x14ac:dyDescent="0.2">
      <c r="A804" s="231"/>
      <c r="B804" s="9"/>
      <c r="C804" s="7" t="s">
        <v>660</v>
      </c>
      <c r="D804" s="17"/>
      <c r="E804" s="218">
        <v>1</v>
      </c>
      <c r="F804" s="218"/>
      <c r="G804" s="218"/>
      <c r="H804" s="218"/>
      <c r="I804" s="218"/>
      <c r="J804" s="218"/>
      <c r="K804" s="218"/>
      <c r="L804" s="218"/>
      <c r="M804" s="281">
        <f>E804</f>
        <v>1</v>
      </c>
    </row>
    <row r="805" spans="1:13" x14ac:dyDescent="0.2">
      <c r="A805" s="231"/>
      <c r="B805" s="9"/>
      <c r="C805" s="7" t="s">
        <v>441</v>
      </c>
      <c r="D805" s="17"/>
      <c r="E805" s="218">
        <v>2</v>
      </c>
      <c r="F805" s="218"/>
      <c r="G805" s="218"/>
      <c r="H805" s="218"/>
      <c r="I805" s="218"/>
      <c r="J805" s="218"/>
      <c r="K805" s="218"/>
      <c r="L805" s="218"/>
      <c r="M805" s="281">
        <f>E805</f>
        <v>2</v>
      </c>
    </row>
    <row r="806" spans="1:13" x14ac:dyDescent="0.2">
      <c r="A806" s="231"/>
      <c r="B806" s="9"/>
      <c r="C806" s="7"/>
      <c r="D806" s="17"/>
      <c r="E806" s="218"/>
      <c r="F806" s="218"/>
      <c r="G806" s="218"/>
      <c r="H806" s="218"/>
      <c r="I806" s="218"/>
      <c r="J806" s="218"/>
      <c r="K806" s="218"/>
      <c r="L806" s="218"/>
      <c r="M806" s="281"/>
    </row>
    <row r="807" spans="1:13" x14ac:dyDescent="0.2">
      <c r="A807" s="231"/>
      <c r="B807" s="9"/>
      <c r="C807" s="7"/>
      <c r="D807" s="17"/>
      <c r="E807" s="218"/>
      <c r="F807" s="218"/>
      <c r="G807" s="218"/>
      <c r="H807" s="218"/>
      <c r="I807" s="218"/>
      <c r="J807" s="218"/>
      <c r="K807" s="218"/>
      <c r="L807" s="218"/>
      <c r="M807" s="281"/>
    </row>
    <row r="808" spans="1:13" x14ac:dyDescent="0.2">
      <c r="A808" s="231"/>
      <c r="B808" s="9"/>
      <c r="C808" s="7"/>
      <c r="D808" s="17"/>
      <c r="E808" s="218"/>
      <c r="F808" s="218"/>
      <c r="G808" s="218"/>
      <c r="H808" s="218"/>
      <c r="I808" s="218"/>
      <c r="J808" s="218"/>
      <c r="K808" s="218"/>
      <c r="L808" s="218"/>
      <c r="M808" s="273"/>
    </row>
    <row r="809" spans="1:13" ht="60" x14ac:dyDescent="0.2">
      <c r="A809" s="231" t="s">
        <v>109</v>
      </c>
      <c r="B809" s="9" t="s">
        <v>364</v>
      </c>
      <c r="C809" s="7" t="s">
        <v>110</v>
      </c>
      <c r="D809" s="17" t="s">
        <v>16</v>
      </c>
      <c r="E809" s="23"/>
      <c r="F809" s="218"/>
      <c r="G809" s="218"/>
      <c r="H809" s="218"/>
      <c r="I809" s="218"/>
      <c r="J809" s="218"/>
      <c r="K809" s="218"/>
      <c r="L809" s="218"/>
      <c r="M809" s="272">
        <f>SUM(M810)</f>
        <v>1</v>
      </c>
    </row>
    <row r="810" spans="1:13" x14ac:dyDescent="0.2">
      <c r="A810" s="231"/>
      <c r="B810" s="9"/>
      <c r="C810" s="7" t="s">
        <v>450</v>
      </c>
      <c r="D810" s="17"/>
      <c r="E810" s="218">
        <v>1</v>
      </c>
      <c r="F810" s="218"/>
      <c r="G810" s="218"/>
      <c r="H810" s="218"/>
      <c r="I810" s="218"/>
      <c r="J810" s="218"/>
      <c r="K810" s="218"/>
      <c r="L810" s="218"/>
      <c r="M810" s="281">
        <f>E810</f>
        <v>1</v>
      </c>
    </row>
    <row r="811" spans="1:13" x14ac:dyDescent="0.2">
      <c r="A811" s="231"/>
      <c r="B811" s="9"/>
      <c r="C811" s="7"/>
      <c r="D811" s="17"/>
      <c r="E811" s="218"/>
      <c r="F811" s="218"/>
      <c r="G811" s="218"/>
      <c r="H811" s="218"/>
      <c r="I811" s="218"/>
      <c r="J811" s="218"/>
      <c r="K811" s="218"/>
      <c r="L811" s="218"/>
      <c r="M811" s="281"/>
    </row>
    <row r="812" spans="1:13" x14ac:dyDescent="0.2">
      <c r="A812" s="231"/>
      <c r="B812" s="9"/>
      <c r="C812" s="7"/>
      <c r="D812" s="17"/>
      <c r="E812" s="218"/>
      <c r="F812" s="218"/>
      <c r="G812" s="218"/>
      <c r="H812" s="218"/>
      <c r="I812" s="218"/>
      <c r="J812" s="218"/>
      <c r="K812" s="218"/>
      <c r="L812" s="218"/>
      <c r="M812" s="277"/>
    </row>
    <row r="813" spans="1:13" ht="96" x14ac:dyDescent="0.2">
      <c r="A813" s="231" t="s">
        <v>115</v>
      </c>
      <c r="B813" s="9" t="s">
        <v>365</v>
      </c>
      <c r="C813" s="7" t="s">
        <v>116</v>
      </c>
      <c r="D813" s="17" t="s">
        <v>16</v>
      </c>
      <c r="E813" s="218"/>
      <c r="F813" s="218"/>
      <c r="G813" s="218"/>
      <c r="H813" s="218"/>
      <c r="I813" s="218"/>
      <c r="J813" s="218"/>
      <c r="K813" s="218"/>
      <c r="L813" s="218"/>
      <c r="M813" s="272">
        <f>SUM(M814)</f>
        <v>1</v>
      </c>
    </row>
    <row r="814" spans="1:13" x14ac:dyDescent="0.2">
      <c r="A814" s="231"/>
      <c r="B814" s="9"/>
      <c r="C814" s="7"/>
      <c r="D814" s="17"/>
      <c r="E814" s="218">
        <v>1</v>
      </c>
      <c r="F814" s="218"/>
      <c r="G814" s="218"/>
      <c r="H814" s="218"/>
      <c r="I814" s="218"/>
      <c r="J814" s="218"/>
      <c r="K814" s="218"/>
      <c r="L814" s="218"/>
      <c r="M814" s="273">
        <f>E814</f>
        <v>1</v>
      </c>
    </row>
    <row r="815" spans="1:13" x14ac:dyDescent="0.2">
      <c r="A815" s="231"/>
      <c r="B815" s="9"/>
      <c r="C815" s="7"/>
      <c r="D815" s="17"/>
      <c r="E815" s="218"/>
      <c r="F815" s="218"/>
      <c r="G815" s="218"/>
      <c r="H815" s="218"/>
      <c r="I815" s="218"/>
      <c r="J815" s="218"/>
      <c r="K815" s="218"/>
      <c r="L815" s="218"/>
      <c r="M815" s="273"/>
    </row>
    <row r="816" spans="1:13" x14ac:dyDescent="0.2">
      <c r="A816" s="231"/>
      <c r="B816" s="9"/>
      <c r="C816" s="7"/>
      <c r="D816" s="17"/>
      <c r="E816" s="218"/>
      <c r="F816" s="218"/>
      <c r="G816" s="218"/>
      <c r="H816" s="218"/>
      <c r="I816" s="218"/>
      <c r="J816" s="218"/>
      <c r="K816" s="218"/>
      <c r="L816" s="218"/>
      <c r="M816" s="273"/>
    </row>
    <row r="817" spans="1:13" ht="96" x14ac:dyDescent="0.2">
      <c r="A817" s="231" t="s">
        <v>117</v>
      </c>
      <c r="B817" s="9" t="s">
        <v>366</v>
      </c>
      <c r="C817" s="7" t="s">
        <v>285</v>
      </c>
      <c r="D817" s="17" t="s">
        <v>16</v>
      </c>
      <c r="E817" s="23"/>
      <c r="F817" s="218"/>
      <c r="G817" s="218"/>
      <c r="H817" s="218"/>
      <c r="I817" s="218"/>
      <c r="J817" s="218"/>
      <c r="K817" s="218"/>
      <c r="L817" s="218"/>
      <c r="M817" s="272">
        <f>SUM(M818,M824)</f>
        <v>5</v>
      </c>
    </row>
    <row r="818" spans="1:13" x14ac:dyDescent="0.2">
      <c r="A818" s="231"/>
      <c r="B818" s="9"/>
      <c r="C818" s="7" t="s">
        <v>151</v>
      </c>
      <c r="D818" s="17"/>
      <c r="E818" s="218"/>
      <c r="F818" s="218"/>
      <c r="G818" s="218"/>
      <c r="H818" s="218"/>
      <c r="I818" s="218"/>
      <c r="J818" s="218"/>
      <c r="K818" s="218"/>
      <c r="L818" s="218"/>
      <c r="M818" s="277">
        <f>SUM(M819:M822)</f>
        <v>4</v>
      </c>
    </row>
    <row r="819" spans="1:13" x14ac:dyDescent="0.2">
      <c r="A819" s="231"/>
      <c r="B819" s="9"/>
      <c r="C819" s="7" t="s">
        <v>437</v>
      </c>
      <c r="D819" s="139"/>
      <c r="E819" s="23">
        <v>1</v>
      </c>
      <c r="F819" s="218"/>
      <c r="G819" s="218"/>
      <c r="H819" s="218"/>
      <c r="I819" s="218"/>
      <c r="J819" s="218"/>
      <c r="K819" s="218"/>
      <c r="L819" s="218"/>
      <c r="M819" s="281">
        <f>E819</f>
        <v>1</v>
      </c>
    </row>
    <row r="820" spans="1:13" x14ac:dyDescent="0.2">
      <c r="A820" s="231"/>
      <c r="B820" s="9"/>
      <c r="C820" s="7" t="s">
        <v>438</v>
      </c>
      <c r="D820" s="139"/>
      <c r="E820" s="23">
        <v>1</v>
      </c>
      <c r="F820" s="218"/>
      <c r="G820" s="218"/>
      <c r="H820" s="218"/>
      <c r="I820" s="218"/>
      <c r="J820" s="218"/>
      <c r="K820" s="218"/>
      <c r="L820" s="218"/>
      <c r="M820" s="281">
        <f>E820</f>
        <v>1</v>
      </c>
    </row>
    <row r="821" spans="1:13" x14ac:dyDescent="0.2">
      <c r="A821" s="231"/>
      <c r="B821" s="9"/>
      <c r="C821" s="7" t="s">
        <v>428</v>
      </c>
      <c r="D821" s="139"/>
      <c r="E821" s="23">
        <v>1</v>
      </c>
      <c r="F821" s="218"/>
      <c r="G821" s="218"/>
      <c r="H821" s="218"/>
      <c r="I821" s="218"/>
      <c r="J821" s="218"/>
      <c r="K821" s="218"/>
      <c r="L821" s="218"/>
      <c r="M821" s="281">
        <f>E821</f>
        <v>1</v>
      </c>
    </row>
    <row r="822" spans="1:13" x14ac:dyDescent="0.2">
      <c r="A822" s="231"/>
      <c r="B822" s="9"/>
      <c r="C822" s="7" t="s">
        <v>659</v>
      </c>
      <c r="D822" s="139"/>
      <c r="E822" s="23">
        <v>1</v>
      </c>
      <c r="F822" s="218"/>
      <c r="G822" s="218"/>
      <c r="H822" s="218"/>
      <c r="I822" s="218"/>
      <c r="J822" s="218"/>
      <c r="K822" s="218"/>
      <c r="L822" s="218"/>
      <c r="M822" s="281">
        <f>E822</f>
        <v>1</v>
      </c>
    </row>
    <row r="823" spans="1:13" x14ac:dyDescent="0.2">
      <c r="A823" s="231"/>
      <c r="B823" s="9"/>
      <c r="C823" s="7"/>
      <c r="D823" s="139"/>
      <c r="E823" s="23"/>
      <c r="F823" s="218"/>
      <c r="G823" s="218"/>
      <c r="H823" s="218"/>
      <c r="I823" s="218"/>
      <c r="J823" s="218"/>
      <c r="K823" s="218"/>
      <c r="L823" s="218"/>
      <c r="M823" s="277"/>
    </row>
    <row r="824" spans="1:13" x14ac:dyDescent="0.2">
      <c r="A824" s="231"/>
      <c r="B824" s="9"/>
      <c r="C824" s="7" t="s">
        <v>152</v>
      </c>
      <c r="D824" s="139"/>
      <c r="E824" s="23"/>
      <c r="F824" s="218"/>
      <c r="G824" s="218"/>
      <c r="H824" s="218"/>
      <c r="I824" s="218"/>
      <c r="J824" s="218"/>
      <c r="K824" s="218"/>
      <c r="L824" s="218"/>
      <c r="M824" s="277">
        <f>SUM(M825:M825)</f>
        <v>1</v>
      </c>
    </row>
    <row r="825" spans="1:13" x14ac:dyDescent="0.2">
      <c r="A825" s="231"/>
      <c r="B825" s="9"/>
      <c r="C825" s="7" t="s">
        <v>660</v>
      </c>
      <c r="D825" s="139"/>
      <c r="E825" s="23">
        <v>1</v>
      </c>
      <c r="F825" s="218"/>
      <c r="G825" s="218"/>
      <c r="H825" s="218"/>
      <c r="I825" s="218"/>
      <c r="J825" s="218"/>
      <c r="K825" s="218"/>
      <c r="L825" s="218"/>
      <c r="M825" s="281">
        <f>E825</f>
        <v>1</v>
      </c>
    </row>
    <row r="826" spans="1:13" x14ac:dyDescent="0.2">
      <c r="A826" s="231"/>
      <c r="B826" s="9"/>
      <c r="C826" s="7"/>
      <c r="D826" s="139"/>
      <c r="E826" s="23"/>
      <c r="F826" s="218"/>
      <c r="G826" s="218"/>
      <c r="H826" s="218"/>
      <c r="I826" s="218"/>
      <c r="J826" s="218"/>
      <c r="K826" s="218"/>
      <c r="L826" s="218"/>
      <c r="M826" s="277"/>
    </row>
    <row r="827" spans="1:13" x14ac:dyDescent="0.2">
      <c r="A827" s="231"/>
      <c r="B827" s="9"/>
      <c r="C827" s="7"/>
      <c r="D827" s="139"/>
      <c r="E827" s="23"/>
      <c r="F827" s="218"/>
      <c r="G827" s="218"/>
      <c r="H827" s="218"/>
      <c r="I827" s="218"/>
      <c r="J827" s="218"/>
      <c r="K827" s="218"/>
      <c r="L827" s="218"/>
      <c r="M827" s="277"/>
    </row>
    <row r="828" spans="1:13" ht="108" x14ac:dyDescent="0.2">
      <c r="A828" s="231" t="s">
        <v>661</v>
      </c>
      <c r="B828" s="9" t="s">
        <v>367</v>
      </c>
      <c r="C828" s="7" t="s">
        <v>662</v>
      </c>
      <c r="D828" s="17" t="s">
        <v>16</v>
      </c>
      <c r="E828" s="23"/>
      <c r="F828" s="218"/>
      <c r="G828" s="218"/>
      <c r="H828" s="218"/>
      <c r="I828" s="218"/>
      <c r="J828" s="218"/>
      <c r="K828" s="218"/>
      <c r="L828" s="218"/>
      <c r="M828" s="272">
        <f>SUM(M829)</f>
        <v>4</v>
      </c>
    </row>
    <row r="829" spans="1:13" x14ac:dyDescent="0.2">
      <c r="A829" s="231"/>
      <c r="B829" s="9"/>
      <c r="C829" s="7" t="s">
        <v>152</v>
      </c>
      <c r="D829" s="139"/>
      <c r="E829" s="23"/>
      <c r="F829" s="218"/>
      <c r="G829" s="218"/>
      <c r="H829" s="218"/>
      <c r="I829" s="218"/>
      <c r="J829" s="218"/>
      <c r="K829" s="218"/>
      <c r="L829" s="218"/>
      <c r="M829" s="277">
        <f>SUM(M830)</f>
        <v>4</v>
      </c>
    </row>
    <row r="830" spans="1:13" x14ac:dyDescent="0.2">
      <c r="A830" s="231"/>
      <c r="B830" s="9"/>
      <c r="C830" s="7" t="s">
        <v>663</v>
      </c>
      <c r="D830" s="139"/>
      <c r="E830" s="23">
        <v>4</v>
      </c>
      <c r="F830" s="218"/>
      <c r="G830" s="218"/>
      <c r="H830" s="218"/>
      <c r="I830" s="218"/>
      <c r="J830" s="218"/>
      <c r="K830" s="218"/>
      <c r="L830" s="218"/>
      <c r="M830" s="281">
        <f>E830</f>
        <v>4</v>
      </c>
    </row>
    <row r="831" spans="1:13" x14ac:dyDescent="0.2">
      <c r="A831" s="231"/>
      <c r="B831" s="9"/>
      <c r="C831" s="7"/>
      <c r="D831" s="139"/>
      <c r="E831" s="23"/>
      <c r="F831" s="218"/>
      <c r="G831" s="218"/>
      <c r="H831" s="218"/>
      <c r="I831" s="218"/>
      <c r="J831" s="218"/>
      <c r="K831" s="218"/>
      <c r="L831" s="218"/>
      <c r="M831" s="277"/>
    </row>
    <row r="832" spans="1:13" x14ac:dyDescent="0.2">
      <c r="A832" s="231"/>
      <c r="B832" s="9"/>
      <c r="C832" s="7"/>
      <c r="D832" s="17"/>
      <c r="E832" s="218"/>
      <c r="F832" s="218"/>
      <c r="G832" s="218"/>
      <c r="H832" s="218"/>
      <c r="I832" s="218"/>
      <c r="J832" s="218"/>
      <c r="K832" s="218"/>
      <c r="L832" s="218"/>
      <c r="M832" s="277"/>
    </row>
    <row r="833" spans="1:13" ht="48" x14ac:dyDescent="0.2">
      <c r="A833" s="231" t="s">
        <v>118</v>
      </c>
      <c r="B833" s="9" t="s">
        <v>368</v>
      </c>
      <c r="C833" s="7" t="s">
        <v>286</v>
      </c>
      <c r="D833" s="17" t="s">
        <v>16</v>
      </c>
      <c r="E833" s="23"/>
      <c r="F833" s="218"/>
      <c r="G833" s="218"/>
      <c r="H833" s="218"/>
      <c r="I833" s="218"/>
      <c r="J833" s="218"/>
      <c r="K833" s="218"/>
      <c r="L833" s="218"/>
      <c r="M833" s="272">
        <f>SUM(M834,M840)</f>
        <v>5</v>
      </c>
    </row>
    <row r="834" spans="1:13" x14ac:dyDescent="0.2">
      <c r="A834" s="231"/>
      <c r="B834" s="9"/>
      <c r="C834" s="7" t="s">
        <v>151</v>
      </c>
      <c r="D834" s="17"/>
      <c r="E834" s="218"/>
      <c r="F834" s="218"/>
      <c r="G834" s="218"/>
      <c r="H834" s="218"/>
      <c r="I834" s="218"/>
      <c r="J834" s="218"/>
      <c r="K834" s="218"/>
      <c r="L834" s="218"/>
      <c r="M834" s="277">
        <f>SUM(M835:M838)</f>
        <v>4</v>
      </c>
    </row>
    <row r="835" spans="1:13" x14ac:dyDescent="0.2">
      <c r="A835" s="231"/>
      <c r="B835" s="9"/>
      <c r="C835" s="7" t="s">
        <v>437</v>
      </c>
      <c r="D835" s="17"/>
      <c r="E835" s="218">
        <v>1</v>
      </c>
      <c r="F835" s="218"/>
      <c r="G835" s="218"/>
      <c r="H835" s="218"/>
      <c r="I835" s="218"/>
      <c r="J835" s="218"/>
      <c r="K835" s="218"/>
      <c r="L835" s="218"/>
      <c r="M835" s="281">
        <f>E835</f>
        <v>1</v>
      </c>
    </row>
    <row r="836" spans="1:13" x14ac:dyDescent="0.2">
      <c r="A836" s="231"/>
      <c r="B836" s="9"/>
      <c r="C836" s="7" t="s">
        <v>438</v>
      </c>
      <c r="D836" s="17"/>
      <c r="E836" s="218">
        <v>1</v>
      </c>
      <c r="F836" s="218"/>
      <c r="G836" s="218"/>
      <c r="H836" s="218"/>
      <c r="I836" s="218"/>
      <c r="J836" s="218"/>
      <c r="K836" s="218"/>
      <c r="L836" s="218"/>
      <c r="M836" s="281">
        <f>E836</f>
        <v>1</v>
      </c>
    </row>
    <row r="837" spans="1:13" x14ac:dyDescent="0.2">
      <c r="A837" s="231"/>
      <c r="B837" s="9"/>
      <c r="C837" s="7" t="s">
        <v>428</v>
      </c>
      <c r="D837" s="17"/>
      <c r="E837" s="218">
        <v>1</v>
      </c>
      <c r="F837" s="218"/>
      <c r="G837" s="218"/>
      <c r="H837" s="218"/>
      <c r="I837" s="218"/>
      <c r="J837" s="218"/>
      <c r="K837" s="218"/>
      <c r="L837" s="218"/>
      <c r="M837" s="281">
        <f>E837</f>
        <v>1</v>
      </c>
    </row>
    <row r="838" spans="1:13" x14ac:dyDescent="0.2">
      <c r="A838" s="236"/>
      <c r="B838" s="344"/>
      <c r="C838" s="345" t="s">
        <v>659</v>
      </c>
      <c r="D838" s="348"/>
      <c r="E838" s="347">
        <v>1</v>
      </c>
      <c r="F838" s="347"/>
      <c r="G838" s="347"/>
      <c r="H838" s="347"/>
      <c r="I838" s="347"/>
      <c r="J838" s="347"/>
      <c r="K838" s="347"/>
      <c r="L838" s="347"/>
      <c r="M838" s="343">
        <f>E838</f>
        <v>1</v>
      </c>
    </row>
    <row r="839" spans="1:13" x14ac:dyDescent="0.2">
      <c r="A839" s="231"/>
      <c r="B839" s="9"/>
      <c r="C839" s="7"/>
      <c r="D839" s="17"/>
      <c r="E839" s="218"/>
      <c r="F839" s="218"/>
      <c r="G839" s="218"/>
      <c r="H839" s="218"/>
      <c r="I839" s="218"/>
      <c r="J839" s="218"/>
      <c r="K839" s="218"/>
      <c r="L839" s="218"/>
      <c r="M839" s="281"/>
    </row>
    <row r="840" spans="1:13" x14ac:dyDescent="0.2">
      <c r="A840" s="231"/>
      <c r="B840" s="9"/>
      <c r="C840" s="7" t="s">
        <v>152</v>
      </c>
      <c r="D840" s="17"/>
      <c r="E840" s="218"/>
      <c r="F840" s="218"/>
      <c r="G840" s="218"/>
      <c r="H840" s="218"/>
      <c r="I840" s="218"/>
      <c r="J840" s="218"/>
      <c r="K840" s="218"/>
      <c r="L840" s="218"/>
      <c r="M840" s="277">
        <f>SUM(M841:M843)</f>
        <v>1</v>
      </c>
    </row>
    <row r="841" spans="1:13" x14ac:dyDescent="0.2">
      <c r="A841" s="231"/>
      <c r="B841" s="9"/>
      <c r="C841" s="7" t="s">
        <v>660</v>
      </c>
      <c r="D841" s="17"/>
      <c r="E841" s="218">
        <v>1</v>
      </c>
      <c r="F841" s="218"/>
      <c r="G841" s="218"/>
      <c r="H841" s="218"/>
      <c r="I841" s="218"/>
      <c r="J841" s="218"/>
      <c r="K841" s="218"/>
      <c r="L841" s="218"/>
      <c r="M841" s="281">
        <f>E841</f>
        <v>1</v>
      </c>
    </row>
    <row r="842" spans="1:13" x14ac:dyDescent="0.2">
      <c r="A842" s="231"/>
      <c r="B842" s="9"/>
      <c r="C842" s="7"/>
      <c r="D842" s="17"/>
      <c r="E842" s="218"/>
      <c r="F842" s="218"/>
      <c r="G842" s="218"/>
      <c r="H842" s="218"/>
      <c r="I842" s="218"/>
      <c r="J842" s="218"/>
      <c r="K842" s="218"/>
      <c r="L842" s="218"/>
      <c r="M842" s="273"/>
    </row>
    <row r="843" spans="1:13" x14ac:dyDescent="0.2">
      <c r="A843" s="231"/>
      <c r="B843" s="9"/>
      <c r="C843" s="7"/>
      <c r="D843" s="17"/>
      <c r="E843" s="218"/>
      <c r="F843" s="218"/>
      <c r="G843" s="218"/>
      <c r="H843" s="218"/>
      <c r="I843" s="218"/>
      <c r="J843" s="218"/>
      <c r="K843" s="218"/>
      <c r="L843" s="218"/>
      <c r="M843" s="273"/>
    </row>
    <row r="844" spans="1:13" x14ac:dyDescent="0.2">
      <c r="A844" s="231"/>
      <c r="B844" s="9"/>
      <c r="C844" s="7"/>
      <c r="D844" s="17"/>
      <c r="E844" s="218"/>
      <c r="F844" s="218"/>
      <c r="G844" s="218"/>
      <c r="H844" s="218"/>
      <c r="I844" s="218"/>
      <c r="J844" s="218"/>
      <c r="K844" s="218"/>
      <c r="L844" s="218"/>
      <c r="M844" s="273"/>
    </row>
    <row r="845" spans="1:13" ht="48" x14ac:dyDescent="0.2">
      <c r="A845" s="231" t="s">
        <v>119</v>
      </c>
      <c r="B845" s="9" t="s">
        <v>369</v>
      </c>
      <c r="C845" s="7" t="s">
        <v>287</v>
      </c>
      <c r="D845" s="17" t="s">
        <v>16</v>
      </c>
      <c r="E845" s="23"/>
      <c r="F845" s="218"/>
      <c r="G845" s="218"/>
      <c r="H845" s="218"/>
      <c r="I845" s="218"/>
      <c r="J845" s="218"/>
      <c r="K845" s="218"/>
      <c r="L845" s="218"/>
      <c r="M845" s="272">
        <f>SUM(M846,M849)</f>
        <v>2</v>
      </c>
    </row>
    <row r="846" spans="1:13" x14ac:dyDescent="0.2">
      <c r="A846" s="231"/>
      <c r="B846" s="9"/>
      <c r="C846" s="7" t="s">
        <v>151</v>
      </c>
      <c r="D846" s="17"/>
      <c r="E846" s="218"/>
      <c r="F846" s="218"/>
      <c r="G846" s="218"/>
      <c r="H846" s="218"/>
      <c r="I846" s="218"/>
      <c r="J846" s="218"/>
      <c r="K846" s="218"/>
      <c r="L846" s="218"/>
      <c r="M846" s="277">
        <f>SUM(M847)</f>
        <v>1</v>
      </c>
    </row>
    <row r="847" spans="1:13" x14ac:dyDescent="0.2">
      <c r="A847" s="231"/>
      <c r="B847" s="9"/>
      <c r="C847" s="7" t="s">
        <v>165</v>
      </c>
      <c r="D847" s="17"/>
      <c r="E847" s="218">
        <v>1</v>
      </c>
      <c r="F847" s="218"/>
      <c r="G847" s="218"/>
      <c r="H847" s="218"/>
      <c r="I847" s="218"/>
      <c r="J847" s="218"/>
      <c r="K847" s="218"/>
      <c r="L847" s="218"/>
      <c r="M847" s="281">
        <f>E847</f>
        <v>1</v>
      </c>
    </row>
    <row r="848" spans="1:13" x14ac:dyDescent="0.2">
      <c r="A848" s="231"/>
      <c r="B848" s="9"/>
      <c r="C848" s="7"/>
      <c r="D848" s="17"/>
      <c r="E848" s="218"/>
      <c r="F848" s="218"/>
      <c r="G848" s="218"/>
      <c r="H848" s="218"/>
      <c r="I848" s="218"/>
      <c r="J848" s="218"/>
      <c r="K848" s="218"/>
      <c r="L848" s="218"/>
      <c r="M848" s="281"/>
    </row>
    <row r="849" spans="1:13" x14ac:dyDescent="0.2">
      <c r="A849" s="231"/>
      <c r="B849" s="9"/>
      <c r="C849" s="7" t="s">
        <v>152</v>
      </c>
      <c r="D849" s="17"/>
      <c r="E849" s="218"/>
      <c r="F849" s="218"/>
      <c r="G849" s="218"/>
      <c r="H849" s="218"/>
      <c r="I849" s="218"/>
      <c r="J849" s="218"/>
      <c r="K849" s="218"/>
      <c r="L849" s="218"/>
      <c r="M849" s="277">
        <f>SUM(M850)</f>
        <v>1</v>
      </c>
    </row>
    <row r="850" spans="1:13" x14ac:dyDescent="0.2">
      <c r="A850" s="231"/>
      <c r="B850" s="9"/>
      <c r="C850" s="7" t="s">
        <v>171</v>
      </c>
      <c r="D850" s="17"/>
      <c r="E850" s="218">
        <v>1</v>
      </c>
      <c r="F850" s="218"/>
      <c r="G850" s="218"/>
      <c r="H850" s="218"/>
      <c r="I850" s="218"/>
      <c r="J850" s="218"/>
      <c r="K850" s="218"/>
      <c r="L850" s="218"/>
      <c r="M850" s="273">
        <f>E850</f>
        <v>1</v>
      </c>
    </row>
    <row r="851" spans="1:13" x14ac:dyDescent="0.2">
      <c r="A851" s="231"/>
      <c r="B851" s="9"/>
      <c r="C851" s="7"/>
      <c r="D851" s="17"/>
      <c r="E851" s="218"/>
      <c r="F851" s="218"/>
      <c r="G851" s="218"/>
      <c r="H851" s="218"/>
      <c r="I851" s="218"/>
      <c r="J851" s="218"/>
      <c r="K851" s="218"/>
      <c r="L851" s="218"/>
      <c r="M851" s="273"/>
    </row>
    <row r="852" spans="1:13" x14ac:dyDescent="0.2">
      <c r="A852" s="231"/>
      <c r="B852" s="9"/>
      <c r="C852" s="7"/>
      <c r="D852" s="17"/>
      <c r="E852" s="218"/>
      <c r="F852" s="218"/>
      <c r="G852" s="218"/>
      <c r="H852" s="218"/>
      <c r="I852" s="218"/>
      <c r="J852" s="218"/>
      <c r="K852" s="218"/>
      <c r="L852" s="218"/>
      <c r="M852" s="273"/>
    </row>
    <row r="853" spans="1:13" ht="48" x14ac:dyDescent="0.2">
      <c r="A853" s="231" t="s">
        <v>120</v>
      </c>
      <c r="B853" s="9" t="s">
        <v>370</v>
      </c>
      <c r="C853" s="7" t="s">
        <v>288</v>
      </c>
      <c r="D853" s="17" t="s">
        <v>16</v>
      </c>
      <c r="E853" s="218"/>
      <c r="F853" s="218"/>
      <c r="G853" s="218"/>
      <c r="H853" s="218"/>
      <c r="I853" s="218"/>
      <c r="J853" s="218"/>
      <c r="K853" s="218"/>
      <c r="L853" s="218"/>
      <c r="M853" s="272">
        <f>SUM(M854)</f>
        <v>1</v>
      </c>
    </row>
    <row r="854" spans="1:13" x14ac:dyDescent="0.2">
      <c r="A854" s="231"/>
      <c r="B854" s="9"/>
      <c r="C854" s="7" t="s">
        <v>450</v>
      </c>
      <c r="D854" s="17"/>
      <c r="E854" s="218">
        <v>1</v>
      </c>
      <c r="F854" s="218"/>
      <c r="G854" s="218"/>
      <c r="H854" s="218"/>
      <c r="I854" s="218"/>
      <c r="J854" s="218"/>
      <c r="K854" s="218"/>
      <c r="L854" s="218"/>
      <c r="M854" s="273">
        <f>E854</f>
        <v>1</v>
      </c>
    </row>
    <row r="855" spans="1:13" x14ac:dyDescent="0.2">
      <c r="A855" s="231"/>
      <c r="B855" s="9"/>
      <c r="C855" s="7"/>
      <c r="D855" s="17"/>
      <c r="E855" s="218"/>
      <c r="F855" s="218"/>
      <c r="G855" s="218"/>
      <c r="H855" s="218"/>
      <c r="I855" s="218"/>
      <c r="J855" s="218"/>
      <c r="K855" s="218"/>
      <c r="L855" s="218"/>
      <c r="M855" s="273"/>
    </row>
    <row r="856" spans="1:13" x14ac:dyDescent="0.2">
      <c r="A856" s="231"/>
      <c r="B856" s="9"/>
      <c r="C856" s="7"/>
      <c r="D856" s="17"/>
      <c r="E856" s="218"/>
      <c r="F856" s="218"/>
      <c r="G856" s="218"/>
      <c r="H856" s="218"/>
      <c r="I856" s="218"/>
      <c r="J856" s="218"/>
      <c r="K856" s="218"/>
      <c r="L856" s="218"/>
      <c r="M856" s="273"/>
    </row>
    <row r="857" spans="1:13" ht="72" x14ac:dyDescent="0.2">
      <c r="A857" s="231" t="s">
        <v>664</v>
      </c>
      <c r="B857" s="9" t="s">
        <v>371</v>
      </c>
      <c r="C857" s="7" t="s">
        <v>665</v>
      </c>
      <c r="D857" s="17" t="s">
        <v>16</v>
      </c>
      <c r="E857" s="218"/>
      <c r="F857" s="218"/>
      <c r="G857" s="218"/>
      <c r="H857" s="218"/>
      <c r="I857" s="218"/>
      <c r="J857" s="218"/>
      <c r="K857" s="218"/>
      <c r="L857" s="218"/>
      <c r="M857" s="272">
        <f>SUM(M858)</f>
        <v>4</v>
      </c>
    </row>
    <row r="858" spans="1:13" x14ac:dyDescent="0.2">
      <c r="A858" s="231"/>
      <c r="B858" s="9"/>
      <c r="C858" s="7" t="s">
        <v>152</v>
      </c>
      <c r="D858" s="17"/>
      <c r="E858" s="218"/>
      <c r="F858" s="218"/>
      <c r="G858" s="218"/>
      <c r="H858" s="218"/>
      <c r="I858" s="218"/>
      <c r="J858" s="218"/>
      <c r="K858" s="218"/>
      <c r="L858" s="218"/>
      <c r="M858" s="282">
        <f>SUM(M859)</f>
        <v>4</v>
      </c>
    </row>
    <row r="859" spans="1:13" x14ac:dyDescent="0.2">
      <c r="A859" s="231"/>
      <c r="B859" s="9"/>
      <c r="C859" s="7" t="s">
        <v>441</v>
      </c>
      <c r="D859" s="17"/>
      <c r="E859" s="218">
        <v>4</v>
      </c>
      <c r="F859" s="218"/>
      <c r="G859" s="218"/>
      <c r="H859" s="218"/>
      <c r="I859" s="218"/>
      <c r="J859" s="218"/>
      <c r="K859" s="218"/>
      <c r="L859" s="218"/>
      <c r="M859" s="281">
        <f>E859</f>
        <v>4</v>
      </c>
    </row>
    <row r="860" spans="1:13" x14ac:dyDescent="0.2">
      <c r="A860" s="231"/>
      <c r="B860" s="9"/>
      <c r="C860" s="7"/>
      <c r="D860" s="8"/>
      <c r="E860" s="218"/>
      <c r="F860" s="218"/>
      <c r="G860" s="218"/>
      <c r="H860" s="218"/>
      <c r="I860" s="218"/>
      <c r="J860" s="218"/>
      <c r="K860" s="218"/>
      <c r="L860" s="218"/>
      <c r="M860" s="273"/>
    </row>
    <row r="861" spans="1:13" x14ac:dyDescent="0.2">
      <c r="A861" s="231"/>
      <c r="B861" s="9"/>
      <c r="C861" s="7"/>
      <c r="D861" s="8"/>
      <c r="E861" s="218"/>
      <c r="F861" s="218"/>
      <c r="G861" s="218"/>
      <c r="H861" s="218"/>
      <c r="I861" s="218"/>
      <c r="J861" s="218"/>
      <c r="K861" s="218"/>
      <c r="L861" s="218"/>
      <c r="M861" s="273"/>
    </row>
    <row r="862" spans="1:13" x14ac:dyDescent="0.2">
      <c r="A862" s="231"/>
      <c r="B862" s="9"/>
      <c r="C862" s="7"/>
      <c r="D862" s="8"/>
      <c r="E862" s="218"/>
      <c r="F862" s="218"/>
      <c r="G862" s="218"/>
      <c r="H862" s="218"/>
      <c r="I862" s="218"/>
      <c r="J862" s="218"/>
      <c r="K862" s="218"/>
      <c r="L862" s="218"/>
      <c r="M862" s="273"/>
    </row>
    <row r="863" spans="1:13" ht="24" x14ac:dyDescent="0.2">
      <c r="A863" s="231" t="s">
        <v>666</v>
      </c>
      <c r="B863" s="9" t="s">
        <v>372</v>
      </c>
      <c r="C863" s="7" t="s">
        <v>667</v>
      </c>
      <c r="D863" s="17" t="s">
        <v>16</v>
      </c>
      <c r="E863" s="218"/>
      <c r="F863" s="218"/>
      <c r="G863" s="218"/>
      <c r="H863" s="218"/>
      <c r="I863" s="218"/>
      <c r="J863" s="218"/>
      <c r="K863" s="218"/>
      <c r="L863" s="218"/>
      <c r="M863" s="272">
        <f>SUM(M864,M866,M869)</f>
        <v>3</v>
      </c>
    </row>
    <row r="864" spans="1:13" x14ac:dyDescent="0.2">
      <c r="A864" s="231"/>
      <c r="B864" s="9"/>
      <c r="C864" s="7" t="s">
        <v>150</v>
      </c>
      <c r="D864" s="17"/>
      <c r="E864" s="218">
        <v>1</v>
      </c>
      <c r="F864" s="218"/>
      <c r="G864" s="218"/>
      <c r="H864" s="218"/>
      <c r="I864" s="218"/>
      <c r="J864" s="218"/>
      <c r="K864" s="218"/>
      <c r="L864" s="218"/>
      <c r="M864" s="277">
        <f>E864</f>
        <v>1</v>
      </c>
    </row>
    <row r="865" spans="1:13" x14ac:dyDescent="0.2">
      <c r="A865" s="231"/>
      <c r="B865" s="9"/>
      <c r="C865" s="7"/>
      <c r="D865" s="17"/>
      <c r="E865" s="218"/>
      <c r="F865" s="218"/>
      <c r="G865" s="218"/>
      <c r="H865" s="218"/>
      <c r="I865" s="218"/>
      <c r="J865" s="218"/>
      <c r="K865" s="218"/>
      <c r="L865" s="218"/>
      <c r="M865" s="281"/>
    </row>
    <row r="866" spans="1:13" x14ac:dyDescent="0.2">
      <c r="A866" s="231"/>
      <c r="B866" s="9"/>
      <c r="C866" s="7" t="s">
        <v>151</v>
      </c>
      <c r="D866" s="17"/>
      <c r="E866" s="218"/>
      <c r="F866" s="218"/>
      <c r="G866" s="218"/>
      <c r="H866" s="218"/>
      <c r="I866" s="218"/>
      <c r="J866" s="218"/>
      <c r="K866" s="218"/>
      <c r="L866" s="218"/>
      <c r="M866" s="277">
        <f>SUM(M867)</f>
        <v>1</v>
      </c>
    </row>
    <row r="867" spans="1:13" x14ac:dyDescent="0.2">
      <c r="A867" s="231"/>
      <c r="B867" s="9"/>
      <c r="C867" s="7" t="s">
        <v>165</v>
      </c>
      <c r="D867" s="17"/>
      <c r="E867" s="218">
        <v>1</v>
      </c>
      <c r="F867" s="218"/>
      <c r="G867" s="218"/>
      <c r="H867" s="218"/>
      <c r="I867" s="218"/>
      <c r="J867" s="218"/>
      <c r="K867" s="218"/>
      <c r="L867" s="218"/>
      <c r="M867" s="281">
        <f>E867</f>
        <v>1</v>
      </c>
    </row>
    <row r="868" spans="1:13" x14ac:dyDescent="0.2">
      <c r="A868" s="231"/>
      <c r="B868" s="9"/>
      <c r="C868" s="7"/>
      <c r="D868" s="17"/>
      <c r="E868" s="218"/>
      <c r="F868" s="218"/>
      <c r="G868" s="218"/>
      <c r="H868" s="218"/>
      <c r="I868" s="218"/>
      <c r="J868" s="218"/>
      <c r="K868" s="218"/>
      <c r="L868" s="218"/>
      <c r="M868" s="277"/>
    </row>
    <row r="869" spans="1:13" x14ac:dyDescent="0.2">
      <c r="A869" s="231"/>
      <c r="B869" s="9"/>
      <c r="C869" s="7" t="s">
        <v>152</v>
      </c>
      <c r="D869" s="17"/>
      <c r="E869" s="218"/>
      <c r="F869" s="218"/>
      <c r="G869" s="218"/>
      <c r="H869" s="218"/>
      <c r="I869" s="218"/>
      <c r="J869" s="218"/>
      <c r="K869" s="218"/>
      <c r="L869" s="218"/>
      <c r="M869" s="277">
        <f>SUM(M870:M871)</f>
        <v>1</v>
      </c>
    </row>
    <row r="870" spans="1:13" x14ac:dyDescent="0.2">
      <c r="A870" s="231"/>
      <c r="B870" s="9"/>
      <c r="C870" s="7" t="s">
        <v>171</v>
      </c>
      <c r="D870" s="17"/>
      <c r="E870" s="218">
        <v>1</v>
      </c>
      <c r="F870" s="218"/>
      <c r="G870" s="218"/>
      <c r="H870" s="218"/>
      <c r="I870" s="218"/>
      <c r="J870" s="218"/>
      <c r="K870" s="218"/>
      <c r="L870" s="218"/>
      <c r="M870" s="281">
        <f>E870</f>
        <v>1</v>
      </c>
    </row>
    <row r="871" spans="1:13" x14ac:dyDescent="0.2">
      <c r="A871" s="231"/>
      <c r="B871" s="9"/>
      <c r="C871" s="7"/>
      <c r="D871" s="17"/>
      <c r="E871" s="218"/>
      <c r="F871" s="218"/>
      <c r="G871" s="218"/>
      <c r="H871" s="218"/>
      <c r="I871" s="218"/>
      <c r="J871" s="218"/>
      <c r="K871" s="218"/>
      <c r="L871" s="218"/>
      <c r="M871" s="277"/>
    </row>
    <row r="872" spans="1:13" x14ac:dyDescent="0.2">
      <c r="A872" s="231"/>
      <c r="B872" s="9"/>
      <c r="C872" s="7"/>
      <c r="D872" s="8"/>
      <c r="E872" s="218"/>
      <c r="F872" s="218"/>
      <c r="G872" s="218"/>
      <c r="H872" s="218"/>
      <c r="I872" s="218"/>
      <c r="J872" s="218"/>
      <c r="K872" s="218"/>
      <c r="L872" s="218"/>
      <c r="M872" s="273"/>
    </row>
    <row r="873" spans="1:13" x14ac:dyDescent="0.2">
      <c r="A873" s="274"/>
      <c r="B873" s="29" t="s">
        <v>124</v>
      </c>
      <c r="C873" s="30" t="s">
        <v>10</v>
      </c>
      <c r="D873" s="31"/>
      <c r="E873" s="31"/>
      <c r="F873" s="31"/>
      <c r="G873" s="31"/>
      <c r="H873" s="31"/>
      <c r="I873" s="31"/>
      <c r="J873" s="31"/>
      <c r="K873" s="31"/>
      <c r="L873" s="31"/>
      <c r="M873" s="275"/>
    </row>
    <row r="874" spans="1:13" ht="84" x14ac:dyDescent="0.2">
      <c r="A874" s="231" t="s">
        <v>121</v>
      </c>
      <c r="B874" s="9" t="s">
        <v>311</v>
      </c>
      <c r="C874" s="7" t="s">
        <v>289</v>
      </c>
      <c r="D874" s="17" t="s">
        <v>17</v>
      </c>
      <c r="E874" s="218"/>
      <c r="F874" s="218"/>
      <c r="G874" s="218"/>
      <c r="H874" s="218"/>
      <c r="I874" s="218"/>
      <c r="J874" s="218"/>
      <c r="K874" s="218"/>
      <c r="L874" s="218"/>
      <c r="M874" s="272">
        <f>SUM(M875)</f>
        <v>52.8</v>
      </c>
    </row>
    <row r="875" spans="1:13" x14ac:dyDescent="0.2">
      <c r="A875" s="231"/>
      <c r="B875" s="9"/>
      <c r="C875" s="7" t="s">
        <v>668</v>
      </c>
      <c r="D875" s="17"/>
      <c r="E875" s="218"/>
      <c r="F875" s="218">
        <v>9.6</v>
      </c>
      <c r="G875" s="218"/>
      <c r="H875" s="218">
        <v>5.5</v>
      </c>
      <c r="I875" s="218"/>
      <c r="J875" s="218"/>
      <c r="K875" s="218"/>
      <c r="L875" s="218"/>
      <c r="M875" s="277">
        <f>F875*H875</f>
        <v>52.8</v>
      </c>
    </row>
    <row r="876" spans="1:13" x14ac:dyDescent="0.2">
      <c r="A876" s="231"/>
      <c r="B876" s="9"/>
      <c r="C876" s="7"/>
      <c r="D876" s="17"/>
      <c r="E876" s="218"/>
      <c r="F876" s="218"/>
      <c r="G876" s="218"/>
      <c r="H876" s="218"/>
      <c r="I876" s="218"/>
      <c r="J876" s="218"/>
      <c r="K876" s="218"/>
      <c r="L876" s="218"/>
      <c r="M876" s="277"/>
    </row>
    <row r="877" spans="1:13" x14ac:dyDescent="0.2">
      <c r="A877" s="231"/>
      <c r="B877" s="9"/>
      <c r="C877" s="7"/>
      <c r="D877" s="17"/>
      <c r="E877" s="218"/>
      <c r="F877" s="218"/>
      <c r="G877" s="218"/>
      <c r="H877" s="218"/>
      <c r="I877" s="218"/>
      <c r="J877" s="218"/>
      <c r="K877" s="218"/>
      <c r="L877" s="218"/>
      <c r="M877" s="277"/>
    </row>
    <row r="878" spans="1:13" ht="48" x14ac:dyDescent="0.2">
      <c r="A878" s="231" t="s">
        <v>130</v>
      </c>
      <c r="B878" s="9" t="s">
        <v>373</v>
      </c>
      <c r="C878" s="7" t="s">
        <v>290</v>
      </c>
      <c r="D878" s="17" t="s">
        <v>17</v>
      </c>
      <c r="E878" s="218"/>
      <c r="F878" s="218"/>
      <c r="G878" s="218"/>
      <c r="H878" s="218"/>
      <c r="I878" s="218"/>
      <c r="J878" s="218"/>
      <c r="K878" s="218"/>
      <c r="L878" s="218"/>
      <c r="M878" s="284">
        <f>SUM(M879)</f>
        <v>26.4</v>
      </c>
    </row>
    <row r="879" spans="1:13" x14ac:dyDescent="0.2">
      <c r="A879" s="231"/>
      <c r="B879" s="9"/>
      <c r="C879" s="7"/>
      <c r="D879" s="17"/>
      <c r="E879" s="218"/>
      <c r="F879" s="218">
        <v>9.6</v>
      </c>
      <c r="G879" s="218"/>
      <c r="H879" s="218">
        <v>2.75</v>
      </c>
      <c r="I879" s="218"/>
      <c r="J879" s="218"/>
      <c r="K879" s="218"/>
      <c r="L879" s="218"/>
      <c r="M879" s="273">
        <f>F879*H879</f>
        <v>26.4</v>
      </c>
    </row>
    <row r="880" spans="1:13" x14ac:dyDescent="0.2">
      <c r="A880" s="231"/>
      <c r="B880" s="9"/>
      <c r="C880" s="7"/>
      <c r="D880" s="17"/>
      <c r="E880" s="218"/>
      <c r="F880" s="218"/>
      <c r="G880" s="218"/>
      <c r="H880" s="218"/>
      <c r="I880" s="218"/>
      <c r="J880" s="218"/>
      <c r="K880" s="218"/>
      <c r="L880" s="218"/>
      <c r="M880" s="273"/>
    </row>
    <row r="881" spans="1:13" x14ac:dyDescent="0.2">
      <c r="A881" s="231"/>
      <c r="B881" s="9"/>
      <c r="C881" s="7"/>
      <c r="D881" s="17"/>
      <c r="E881" s="218"/>
      <c r="F881" s="218"/>
      <c r="G881" s="218"/>
      <c r="H881" s="218"/>
      <c r="I881" s="218"/>
      <c r="J881" s="218"/>
      <c r="K881" s="218"/>
      <c r="L881" s="218"/>
      <c r="M881" s="273"/>
    </row>
    <row r="882" spans="1:13" ht="36" x14ac:dyDescent="0.2">
      <c r="A882" s="231" t="s">
        <v>131</v>
      </c>
      <c r="B882" s="9" t="s">
        <v>374</v>
      </c>
      <c r="C882" s="7" t="s">
        <v>291</v>
      </c>
      <c r="D882" s="17" t="s">
        <v>17</v>
      </c>
      <c r="E882" s="218"/>
      <c r="F882" s="218"/>
      <c r="G882" s="218"/>
      <c r="H882" s="218"/>
      <c r="I882" s="218"/>
      <c r="J882" s="218"/>
      <c r="K882" s="218"/>
      <c r="L882" s="218"/>
      <c r="M882" s="284">
        <f>SUM(M883)</f>
        <v>52.8</v>
      </c>
    </row>
    <row r="883" spans="1:13" x14ac:dyDescent="0.2">
      <c r="A883" s="231"/>
      <c r="B883" s="9"/>
      <c r="C883" s="7"/>
      <c r="D883" s="17"/>
      <c r="E883" s="218"/>
      <c r="F883" s="218">
        <v>9.6</v>
      </c>
      <c r="G883" s="218"/>
      <c r="H883" s="218">
        <v>5.5</v>
      </c>
      <c r="I883" s="218"/>
      <c r="J883" s="218"/>
      <c r="K883" s="218"/>
      <c r="L883" s="218"/>
      <c r="M883" s="277">
        <f>F883*H883</f>
        <v>52.8</v>
      </c>
    </row>
    <row r="884" spans="1:13" x14ac:dyDescent="0.2">
      <c r="A884" s="231"/>
      <c r="B884" s="9"/>
      <c r="C884" s="7"/>
      <c r="D884" s="17"/>
      <c r="E884" s="218"/>
      <c r="F884" s="218"/>
      <c r="G884" s="218"/>
      <c r="H884" s="218"/>
      <c r="I884" s="218"/>
      <c r="J884" s="218"/>
      <c r="K884" s="218"/>
      <c r="L884" s="218"/>
      <c r="M884" s="273"/>
    </row>
    <row r="885" spans="1:13" ht="36" x14ac:dyDescent="0.2">
      <c r="A885" s="231" t="s">
        <v>128</v>
      </c>
      <c r="B885" s="9" t="s">
        <v>375</v>
      </c>
      <c r="C885" s="7" t="s">
        <v>129</v>
      </c>
      <c r="D885" s="17" t="s">
        <v>45</v>
      </c>
      <c r="E885" s="218"/>
      <c r="F885" s="218"/>
      <c r="G885" s="218"/>
      <c r="H885" s="218"/>
      <c r="I885" s="218"/>
      <c r="J885" s="218"/>
      <c r="K885" s="218"/>
      <c r="L885" s="218"/>
      <c r="M885" s="284">
        <f>SUM(M886)</f>
        <v>9.6</v>
      </c>
    </row>
    <row r="886" spans="1:13" x14ac:dyDescent="0.2">
      <c r="A886" s="231"/>
      <c r="B886" s="9"/>
      <c r="C886" s="7"/>
      <c r="D886" s="17"/>
      <c r="E886" s="218"/>
      <c r="F886" s="218">
        <v>9.6</v>
      </c>
      <c r="G886" s="218"/>
      <c r="H886" s="218"/>
      <c r="I886" s="218"/>
      <c r="J886" s="218"/>
      <c r="K886" s="218"/>
      <c r="L886" s="218"/>
      <c r="M886" s="273">
        <f>F886</f>
        <v>9.6</v>
      </c>
    </row>
    <row r="887" spans="1:13" x14ac:dyDescent="0.2">
      <c r="A887" s="231"/>
      <c r="B887" s="9"/>
      <c r="C887" s="7"/>
      <c r="D887" s="17"/>
      <c r="E887" s="218"/>
      <c r="F887" s="218"/>
      <c r="G887" s="218"/>
      <c r="H887" s="218"/>
      <c r="I887" s="218"/>
      <c r="J887" s="218"/>
      <c r="K887" s="218"/>
      <c r="L887" s="218"/>
      <c r="M887" s="273"/>
    </row>
    <row r="888" spans="1:13" ht="132" x14ac:dyDescent="0.2">
      <c r="A888" s="231" t="s">
        <v>122</v>
      </c>
      <c r="B888" s="9" t="s">
        <v>376</v>
      </c>
      <c r="C888" s="7" t="s">
        <v>292</v>
      </c>
      <c r="D888" s="17" t="s">
        <v>17</v>
      </c>
      <c r="E888" s="218"/>
      <c r="F888" s="218"/>
      <c r="G888" s="218"/>
      <c r="H888" s="218"/>
      <c r="I888" s="218"/>
      <c r="J888" s="218"/>
      <c r="K888" s="218"/>
      <c r="L888" s="218"/>
      <c r="M888" s="272">
        <f>SUM(M890)</f>
        <v>30.8</v>
      </c>
    </row>
    <row r="889" spans="1:13" x14ac:dyDescent="0.2">
      <c r="A889" s="231"/>
      <c r="B889" s="9"/>
      <c r="C889" s="11" t="s">
        <v>670</v>
      </c>
      <c r="D889" s="10"/>
      <c r="E889" s="218"/>
      <c r="F889" s="218"/>
      <c r="G889" s="218"/>
      <c r="H889" s="218"/>
      <c r="I889" s="218"/>
      <c r="J889" s="218"/>
      <c r="K889" s="218"/>
      <c r="L889" s="218"/>
      <c r="M889" s="273"/>
    </row>
    <row r="890" spans="1:13" x14ac:dyDescent="0.2">
      <c r="A890" s="231"/>
      <c r="B890" s="9"/>
      <c r="C890" s="7" t="s">
        <v>669</v>
      </c>
      <c r="D890" s="17"/>
      <c r="E890" s="218"/>
      <c r="F890" s="218"/>
      <c r="G890" s="218">
        <v>30.8</v>
      </c>
      <c r="H890" s="218">
        <v>1</v>
      </c>
      <c r="I890" s="218"/>
      <c r="J890" s="218">
        <f>G890*H890</f>
        <v>30.8</v>
      </c>
      <c r="K890" s="218"/>
      <c r="L890" s="218"/>
      <c r="M890" s="273">
        <f>J890</f>
        <v>30.8</v>
      </c>
    </row>
    <row r="891" spans="1:13" x14ac:dyDescent="0.2">
      <c r="A891" s="231"/>
      <c r="B891" s="9"/>
      <c r="C891" s="7"/>
      <c r="D891" s="17"/>
      <c r="E891" s="218"/>
      <c r="F891" s="218"/>
      <c r="G891" s="218"/>
      <c r="H891" s="218"/>
      <c r="I891" s="218"/>
      <c r="J891" s="218"/>
      <c r="K891" s="218"/>
      <c r="L891" s="218"/>
      <c r="M891" s="273"/>
    </row>
    <row r="892" spans="1:13" x14ac:dyDescent="0.2">
      <c r="A892" s="231"/>
      <c r="B892" s="9"/>
      <c r="C892" s="7"/>
      <c r="D892" s="17"/>
      <c r="E892" s="218"/>
      <c r="F892" s="218"/>
      <c r="G892" s="218"/>
      <c r="H892" s="218"/>
      <c r="I892" s="218"/>
      <c r="J892" s="218"/>
      <c r="K892" s="218"/>
      <c r="L892" s="218"/>
      <c r="M892" s="273"/>
    </row>
    <row r="893" spans="1:13" x14ac:dyDescent="0.2">
      <c r="A893" s="289"/>
      <c r="B893" s="174" t="s">
        <v>125</v>
      </c>
      <c r="C893" s="175" t="s">
        <v>996</v>
      </c>
      <c r="D893" s="176"/>
      <c r="E893" s="177"/>
      <c r="F893" s="177"/>
      <c r="G893" s="177"/>
      <c r="H893" s="177"/>
      <c r="I893" s="177"/>
      <c r="J893" s="177"/>
      <c r="K893" s="177"/>
      <c r="L893" s="177"/>
      <c r="M893" s="290"/>
    </row>
    <row r="894" spans="1:13" x14ac:dyDescent="0.2">
      <c r="A894" s="231"/>
      <c r="B894" s="9"/>
      <c r="C894" s="7"/>
      <c r="D894" s="17"/>
      <c r="E894" s="218"/>
      <c r="F894" s="218"/>
      <c r="G894" s="218"/>
      <c r="H894" s="218"/>
      <c r="I894" s="218"/>
      <c r="J894" s="218"/>
      <c r="K894" s="218"/>
      <c r="L894" s="218"/>
      <c r="M894" s="273"/>
    </row>
    <row r="895" spans="1:13" x14ac:dyDescent="0.2">
      <c r="A895" s="231"/>
      <c r="B895" s="9" t="s">
        <v>312</v>
      </c>
      <c r="C895" s="7" t="s">
        <v>997</v>
      </c>
      <c r="D895" s="17"/>
      <c r="E895" s="218"/>
      <c r="F895" s="218"/>
      <c r="G895" s="218"/>
      <c r="H895" s="218"/>
      <c r="I895" s="218"/>
      <c r="J895" s="218"/>
      <c r="K895" s="218"/>
      <c r="L895" s="218"/>
      <c r="M895" s="273"/>
    </row>
    <row r="896" spans="1:13" x14ac:dyDescent="0.2">
      <c r="A896" s="231"/>
      <c r="B896" s="9"/>
      <c r="C896" s="7"/>
      <c r="D896" s="17"/>
      <c r="E896" s="218"/>
      <c r="F896" s="218"/>
      <c r="G896" s="218"/>
      <c r="H896" s="218"/>
      <c r="I896" s="218"/>
      <c r="J896" s="218"/>
      <c r="K896" s="218"/>
      <c r="L896" s="218"/>
      <c r="M896" s="273"/>
    </row>
    <row r="897" spans="1:13" ht="60" x14ac:dyDescent="0.2">
      <c r="A897" s="247" t="s">
        <v>801</v>
      </c>
      <c r="B897" s="172" t="s">
        <v>1005</v>
      </c>
      <c r="C897" s="171" t="s">
        <v>802</v>
      </c>
      <c r="D897" s="165" t="s">
        <v>803</v>
      </c>
      <c r="E897" s="166"/>
      <c r="F897" s="178"/>
      <c r="G897" s="179"/>
      <c r="H897" s="180"/>
      <c r="I897" s="180"/>
      <c r="J897" s="180"/>
      <c r="K897" s="180"/>
      <c r="L897" s="179"/>
      <c r="M897" s="246">
        <v>70</v>
      </c>
    </row>
    <row r="898" spans="1:13" x14ac:dyDescent="0.2">
      <c r="A898" s="247"/>
      <c r="B898" s="172"/>
      <c r="C898" s="171"/>
      <c r="D898" s="165"/>
      <c r="E898" s="166"/>
      <c r="F898" s="178"/>
      <c r="G898" s="179">
        <v>70</v>
      </c>
      <c r="H898" s="180"/>
      <c r="I898" s="180"/>
      <c r="J898" s="180"/>
      <c r="K898" s="180"/>
      <c r="L898" s="179"/>
      <c r="M898" s="291">
        <v>70</v>
      </c>
    </row>
    <row r="899" spans="1:13" ht="60" x14ac:dyDescent="0.2">
      <c r="A899" s="247" t="s">
        <v>804</v>
      </c>
      <c r="B899" s="172" t="s">
        <v>1006</v>
      </c>
      <c r="C899" s="171" t="s">
        <v>805</v>
      </c>
      <c r="D899" s="172" t="s">
        <v>803</v>
      </c>
      <c r="E899" s="166"/>
      <c r="F899" s="178"/>
      <c r="G899" s="179"/>
      <c r="H899" s="180"/>
      <c r="I899" s="180"/>
      <c r="J899" s="180"/>
      <c r="K899" s="180"/>
      <c r="L899" s="179"/>
      <c r="M899" s="246">
        <v>45</v>
      </c>
    </row>
    <row r="900" spans="1:13" x14ac:dyDescent="0.2">
      <c r="A900" s="247"/>
      <c r="B900" s="172"/>
      <c r="C900" s="171"/>
      <c r="D900" s="172"/>
      <c r="E900" s="166"/>
      <c r="F900" s="178"/>
      <c r="G900" s="179">
        <v>45</v>
      </c>
      <c r="H900" s="180"/>
      <c r="I900" s="180"/>
      <c r="J900" s="180"/>
      <c r="K900" s="180"/>
      <c r="L900" s="179"/>
      <c r="M900" s="291">
        <v>45</v>
      </c>
    </row>
    <row r="901" spans="1:13" ht="48" x14ac:dyDescent="0.2">
      <c r="A901" s="247" t="s">
        <v>806</v>
      </c>
      <c r="B901" s="172" t="s">
        <v>1007</v>
      </c>
      <c r="C901" s="171" t="s">
        <v>807</v>
      </c>
      <c r="D901" s="165" t="s">
        <v>803</v>
      </c>
      <c r="E901" s="166"/>
      <c r="F901" s="178"/>
      <c r="G901" s="179"/>
      <c r="H901" s="180"/>
      <c r="I901" s="180"/>
      <c r="J901" s="180"/>
      <c r="K901" s="180"/>
      <c r="L901" s="179"/>
      <c r="M901" s="246">
        <v>160</v>
      </c>
    </row>
    <row r="902" spans="1:13" x14ac:dyDescent="0.2">
      <c r="A902" s="248"/>
      <c r="B902" s="181"/>
      <c r="C902" s="173"/>
      <c r="D902" s="166"/>
      <c r="E902" s="165"/>
      <c r="F902" s="182"/>
      <c r="G902" s="179">
        <v>160</v>
      </c>
      <c r="H902" s="180"/>
      <c r="I902" s="180"/>
      <c r="J902" s="180"/>
      <c r="K902" s="180"/>
      <c r="L902" s="179"/>
      <c r="M902" s="291">
        <v>160</v>
      </c>
    </row>
    <row r="903" spans="1:13" ht="36" x14ac:dyDescent="0.2">
      <c r="A903" s="248" t="s">
        <v>808</v>
      </c>
      <c r="B903" s="172" t="s">
        <v>1008</v>
      </c>
      <c r="C903" s="173" t="s">
        <v>809</v>
      </c>
      <c r="D903" s="166" t="s">
        <v>810</v>
      </c>
      <c r="E903" s="168"/>
      <c r="F903" s="183"/>
      <c r="G903" s="179"/>
      <c r="H903" s="180"/>
      <c r="I903" s="180"/>
      <c r="J903" s="180"/>
      <c r="K903" s="180"/>
      <c r="L903" s="179"/>
      <c r="M903" s="246">
        <v>122</v>
      </c>
    </row>
    <row r="904" spans="1:13" x14ac:dyDescent="0.2">
      <c r="A904" s="247"/>
      <c r="B904" s="172"/>
      <c r="C904" s="171"/>
      <c r="D904" s="172"/>
      <c r="E904" s="166">
        <v>122</v>
      </c>
      <c r="F904" s="178"/>
      <c r="G904" s="179"/>
      <c r="H904" s="180"/>
      <c r="I904" s="180"/>
      <c r="J904" s="180"/>
      <c r="K904" s="180"/>
      <c r="L904" s="179"/>
      <c r="M904" s="291">
        <v>122</v>
      </c>
    </row>
    <row r="905" spans="1:13" ht="72" x14ac:dyDescent="0.2">
      <c r="A905" s="249" t="s">
        <v>811</v>
      </c>
      <c r="B905" s="172" t="s">
        <v>1009</v>
      </c>
      <c r="C905" s="171" t="s">
        <v>812</v>
      </c>
      <c r="D905" s="165" t="s">
        <v>810</v>
      </c>
      <c r="E905" s="166"/>
      <c r="F905" s="178"/>
      <c r="G905" s="179"/>
      <c r="H905" s="180"/>
      <c r="I905" s="180"/>
      <c r="J905" s="180"/>
      <c r="K905" s="180"/>
      <c r="L905" s="179"/>
      <c r="M905" s="246">
        <v>69</v>
      </c>
    </row>
    <row r="906" spans="1:13" x14ac:dyDescent="0.2">
      <c r="A906" s="247"/>
      <c r="B906" s="172"/>
      <c r="C906" s="171"/>
      <c r="D906" s="172"/>
      <c r="E906" s="166">
        <v>69</v>
      </c>
      <c r="F906" s="178"/>
      <c r="G906" s="179"/>
      <c r="H906" s="180"/>
      <c r="I906" s="180"/>
      <c r="J906" s="180"/>
      <c r="K906" s="180"/>
      <c r="L906" s="179"/>
      <c r="M906" s="291">
        <v>69</v>
      </c>
    </row>
    <row r="907" spans="1:13" ht="72" x14ac:dyDescent="0.2">
      <c r="A907" s="247" t="s">
        <v>813</v>
      </c>
      <c r="B907" s="172" t="s">
        <v>1010</v>
      </c>
      <c r="C907" s="171" t="s">
        <v>814</v>
      </c>
      <c r="D907" s="165" t="s">
        <v>810</v>
      </c>
      <c r="E907" s="166"/>
      <c r="F907" s="178"/>
      <c r="G907" s="179"/>
      <c r="H907" s="180"/>
      <c r="I907" s="180"/>
      <c r="J907" s="180"/>
      <c r="K907" s="180"/>
      <c r="L907" s="179"/>
      <c r="M907" s="246">
        <v>49</v>
      </c>
    </row>
    <row r="908" spans="1:13" x14ac:dyDescent="0.2">
      <c r="A908" s="247"/>
      <c r="B908" s="172"/>
      <c r="C908" s="171"/>
      <c r="D908" s="172"/>
      <c r="E908" s="166">
        <v>49</v>
      </c>
      <c r="F908" s="178"/>
      <c r="G908" s="180"/>
      <c r="H908" s="180"/>
      <c r="I908" s="180"/>
      <c r="J908" s="180"/>
      <c r="K908" s="180"/>
      <c r="L908" s="179"/>
      <c r="M908" s="291">
        <v>49</v>
      </c>
    </row>
    <row r="909" spans="1:13" ht="72" x14ac:dyDescent="0.2">
      <c r="A909" s="247" t="s">
        <v>815</v>
      </c>
      <c r="B909" s="172" t="s">
        <v>1011</v>
      </c>
      <c r="C909" s="171" t="s">
        <v>816</v>
      </c>
      <c r="D909" s="165" t="s">
        <v>810</v>
      </c>
      <c r="E909" s="166"/>
      <c r="F909" s="178"/>
      <c r="G909" s="180"/>
      <c r="H909" s="180"/>
      <c r="I909" s="180"/>
      <c r="J909" s="180"/>
      <c r="K909" s="180"/>
      <c r="L909" s="179"/>
      <c r="M909" s="246">
        <v>18</v>
      </c>
    </row>
    <row r="910" spans="1:13" x14ac:dyDescent="0.2">
      <c r="A910" s="247"/>
      <c r="B910" s="172"/>
      <c r="C910" s="171"/>
      <c r="D910" s="172"/>
      <c r="E910" s="166">
        <v>18</v>
      </c>
      <c r="F910" s="178"/>
      <c r="G910" s="180"/>
      <c r="H910" s="180"/>
      <c r="I910" s="180"/>
      <c r="J910" s="180"/>
      <c r="K910" s="180"/>
      <c r="L910" s="179"/>
      <c r="M910" s="291">
        <v>18</v>
      </c>
    </row>
    <row r="911" spans="1:13" ht="84" x14ac:dyDescent="0.2">
      <c r="A911" s="247" t="s">
        <v>817</v>
      </c>
      <c r="B911" s="172" t="s">
        <v>1012</v>
      </c>
      <c r="C911" s="171" t="s">
        <v>818</v>
      </c>
      <c r="D911" s="165" t="s">
        <v>810</v>
      </c>
      <c r="E911" s="166"/>
      <c r="F911" s="178"/>
      <c r="G911" s="180"/>
      <c r="H911" s="180"/>
      <c r="I911" s="180"/>
      <c r="J911" s="180"/>
      <c r="K911" s="180"/>
      <c r="L911" s="179"/>
      <c r="M911" s="246">
        <v>3</v>
      </c>
    </row>
    <row r="912" spans="1:13" x14ac:dyDescent="0.2">
      <c r="A912" s="247"/>
      <c r="B912" s="172"/>
      <c r="C912" s="171"/>
      <c r="D912" s="172"/>
      <c r="E912" s="166">
        <v>3</v>
      </c>
      <c r="F912" s="178"/>
      <c r="G912" s="180"/>
      <c r="H912" s="180"/>
      <c r="I912" s="180"/>
      <c r="J912" s="180"/>
      <c r="K912" s="180"/>
      <c r="L912" s="179"/>
      <c r="M912" s="291">
        <v>3</v>
      </c>
    </row>
    <row r="913" spans="1:13" ht="36" x14ac:dyDescent="0.2">
      <c r="A913" s="247" t="s">
        <v>819</v>
      </c>
      <c r="B913" s="172" t="s">
        <v>1013</v>
      </c>
      <c r="C913" s="171" t="s">
        <v>820</v>
      </c>
      <c r="D913" s="165" t="s">
        <v>810</v>
      </c>
      <c r="E913" s="166"/>
      <c r="F913" s="178"/>
      <c r="G913" s="180"/>
      <c r="H913" s="180"/>
      <c r="I913" s="180"/>
      <c r="J913" s="180"/>
      <c r="K913" s="180"/>
      <c r="L913" s="179"/>
      <c r="M913" s="246">
        <v>21</v>
      </c>
    </row>
    <row r="914" spans="1:13" x14ac:dyDescent="0.2">
      <c r="A914" s="247"/>
      <c r="B914" s="172"/>
      <c r="C914" s="171"/>
      <c r="D914" s="165"/>
      <c r="E914" s="166">
        <v>21</v>
      </c>
      <c r="F914" s="178"/>
      <c r="G914" s="180"/>
      <c r="H914" s="180"/>
      <c r="I914" s="180"/>
      <c r="J914" s="180"/>
      <c r="K914" s="180"/>
      <c r="L914" s="179"/>
      <c r="M914" s="291">
        <v>21</v>
      </c>
    </row>
    <row r="915" spans="1:13" ht="36" x14ac:dyDescent="0.2">
      <c r="A915" s="247" t="s">
        <v>821</v>
      </c>
      <c r="B915" s="172" t="s">
        <v>919</v>
      </c>
      <c r="C915" s="171" t="s">
        <v>822</v>
      </c>
      <c r="D915" s="165" t="s">
        <v>810</v>
      </c>
      <c r="E915" s="166"/>
      <c r="F915" s="178"/>
      <c r="G915" s="180"/>
      <c r="H915" s="180"/>
      <c r="I915" s="180"/>
      <c r="J915" s="180"/>
      <c r="K915" s="180"/>
      <c r="L915" s="179"/>
      <c r="M915" s="246">
        <v>1</v>
      </c>
    </row>
    <row r="916" spans="1:13" x14ac:dyDescent="0.2">
      <c r="A916" s="247"/>
      <c r="B916" s="172"/>
      <c r="C916" s="171"/>
      <c r="D916" s="165"/>
      <c r="E916" s="166">
        <v>1</v>
      </c>
      <c r="F916" s="178"/>
      <c r="G916" s="180"/>
      <c r="H916" s="180"/>
      <c r="I916" s="180"/>
      <c r="J916" s="180"/>
      <c r="K916" s="180"/>
      <c r="L916" s="179"/>
      <c r="M916" s="291">
        <v>1</v>
      </c>
    </row>
    <row r="917" spans="1:13" ht="36" x14ac:dyDescent="0.2">
      <c r="A917" s="247" t="s">
        <v>823</v>
      </c>
      <c r="B917" s="172" t="s">
        <v>920</v>
      </c>
      <c r="C917" s="171" t="s">
        <v>824</v>
      </c>
      <c r="D917" s="165" t="s">
        <v>810</v>
      </c>
      <c r="E917" s="165"/>
      <c r="F917" s="178"/>
      <c r="G917" s="180"/>
      <c r="H917" s="180"/>
      <c r="I917" s="180"/>
      <c r="J917" s="180"/>
      <c r="K917" s="180"/>
      <c r="L917" s="179"/>
      <c r="M917" s="246">
        <v>2</v>
      </c>
    </row>
    <row r="918" spans="1:13" x14ac:dyDescent="0.2">
      <c r="A918" s="247"/>
      <c r="B918" s="172"/>
      <c r="C918" s="171"/>
      <c r="D918" s="165"/>
      <c r="E918" s="166">
        <v>2</v>
      </c>
      <c r="F918" s="178"/>
      <c r="G918" s="180"/>
      <c r="H918" s="180"/>
      <c r="I918" s="180"/>
      <c r="J918" s="180"/>
      <c r="K918" s="180"/>
      <c r="L918" s="179"/>
      <c r="M918" s="291">
        <v>2</v>
      </c>
    </row>
    <row r="919" spans="1:13" ht="36" x14ac:dyDescent="0.2">
      <c r="A919" s="247" t="s">
        <v>825</v>
      </c>
      <c r="B919" s="172" t="s">
        <v>921</v>
      </c>
      <c r="C919" s="171" t="s">
        <v>826</v>
      </c>
      <c r="D919" s="165" t="s">
        <v>810</v>
      </c>
      <c r="E919" s="166"/>
      <c r="F919" s="178"/>
      <c r="G919" s="180"/>
      <c r="H919" s="180"/>
      <c r="I919" s="180"/>
      <c r="J919" s="180"/>
      <c r="K919" s="180"/>
      <c r="L919" s="179"/>
      <c r="M919" s="246">
        <v>12</v>
      </c>
    </row>
    <row r="920" spans="1:13" x14ac:dyDescent="0.2">
      <c r="A920" s="247"/>
      <c r="B920" s="172"/>
      <c r="C920" s="171"/>
      <c r="D920" s="172"/>
      <c r="E920" s="166">
        <v>12</v>
      </c>
      <c r="F920" s="178"/>
      <c r="G920" s="180"/>
      <c r="H920" s="180"/>
      <c r="I920" s="180"/>
      <c r="J920" s="180"/>
      <c r="K920" s="180"/>
      <c r="L920" s="179"/>
      <c r="M920" s="291">
        <v>12</v>
      </c>
    </row>
    <row r="921" spans="1:13" ht="24" x14ac:dyDescent="0.2">
      <c r="A921" s="247" t="s">
        <v>827</v>
      </c>
      <c r="B921" s="172" t="s">
        <v>922</v>
      </c>
      <c r="C921" s="171" t="s">
        <v>828</v>
      </c>
      <c r="D921" s="165" t="s">
        <v>810</v>
      </c>
      <c r="E921" s="166"/>
      <c r="F921" s="178"/>
      <c r="G921" s="180"/>
      <c r="H921" s="180"/>
      <c r="I921" s="180"/>
      <c r="J921" s="180"/>
      <c r="K921" s="180"/>
      <c r="L921" s="179"/>
      <c r="M921" s="246">
        <v>4</v>
      </c>
    </row>
    <row r="922" spans="1:13" x14ac:dyDescent="0.2">
      <c r="A922" s="247"/>
      <c r="B922" s="172"/>
      <c r="C922" s="171"/>
      <c r="D922" s="165"/>
      <c r="E922" s="166">
        <v>4</v>
      </c>
      <c r="F922" s="178"/>
      <c r="G922" s="180"/>
      <c r="H922" s="180"/>
      <c r="I922" s="180"/>
      <c r="J922" s="180"/>
      <c r="K922" s="180"/>
      <c r="L922" s="179"/>
      <c r="M922" s="291">
        <v>4</v>
      </c>
    </row>
    <row r="923" spans="1:13" ht="24" x14ac:dyDescent="0.2">
      <c r="A923" s="247" t="s">
        <v>827</v>
      </c>
      <c r="B923" s="172" t="s">
        <v>923</v>
      </c>
      <c r="C923" s="171" t="s">
        <v>829</v>
      </c>
      <c r="D923" s="165" t="s">
        <v>810</v>
      </c>
      <c r="E923" s="166"/>
      <c r="F923" s="178"/>
      <c r="G923" s="180"/>
      <c r="H923" s="180"/>
      <c r="I923" s="180"/>
      <c r="J923" s="180"/>
      <c r="K923" s="180"/>
      <c r="L923" s="179"/>
      <c r="M923" s="246">
        <v>19</v>
      </c>
    </row>
    <row r="924" spans="1:13" x14ac:dyDescent="0.2">
      <c r="A924" s="247"/>
      <c r="B924" s="172"/>
      <c r="C924" s="171"/>
      <c r="D924" s="165"/>
      <c r="E924" s="166">
        <v>19</v>
      </c>
      <c r="F924" s="178"/>
      <c r="G924" s="180"/>
      <c r="H924" s="180"/>
      <c r="I924" s="180"/>
      <c r="J924" s="180"/>
      <c r="K924" s="180"/>
      <c r="L924" s="179"/>
      <c r="M924" s="291">
        <v>19</v>
      </c>
    </row>
    <row r="925" spans="1:13" ht="24" x14ac:dyDescent="0.2">
      <c r="A925" s="247" t="s">
        <v>830</v>
      </c>
      <c r="B925" s="172" t="s">
        <v>924</v>
      </c>
      <c r="C925" s="171" t="s">
        <v>831</v>
      </c>
      <c r="D925" s="165" t="s">
        <v>810</v>
      </c>
      <c r="E925" s="166"/>
      <c r="F925" s="178"/>
      <c r="G925" s="180"/>
      <c r="H925" s="180"/>
      <c r="I925" s="180"/>
      <c r="J925" s="180"/>
      <c r="K925" s="180"/>
      <c r="L925" s="179"/>
      <c r="M925" s="246">
        <v>3</v>
      </c>
    </row>
    <row r="926" spans="1:13" x14ac:dyDescent="0.2">
      <c r="A926" s="247"/>
      <c r="B926" s="172"/>
      <c r="C926" s="171"/>
      <c r="D926" s="165"/>
      <c r="E926" s="166">
        <v>3</v>
      </c>
      <c r="F926" s="178"/>
      <c r="G926" s="180"/>
      <c r="H926" s="180"/>
      <c r="I926" s="180"/>
      <c r="J926" s="180"/>
      <c r="K926" s="180"/>
      <c r="L926" s="179"/>
      <c r="M926" s="291">
        <v>3</v>
      </c>
    </row>
    <row r="927" spans="1:13" ht="24" x14ac:dyDescent="0.2">
      <c r="A927" s="247" t="s">
        <v>827</v>
      </c>
      <c r="B927" s="172" t="s">
        <v>925</v>
      </c>
      <c r="C927" s="171" t="s">
        <v>832</v>
      </c>
      <c r="D927" s="165" t="s">
        <v>810</v>
      </c>
      <c r="E927" s="166"/>
      <c r="F927" s="178"/>
      <c r="G927" s="180"/>
      <c r="H927" s="180"/>
      <c r="I927" s="180"/>
      <c r="J927" s="180"/>
      <c r="K927" s="180"/>
      <c r="L927" s="179"/>
      <c r="M927" s="246">
        <v>4</v>
      </c>
    </row>
    <row r="928" spans="1:13" x14ac:dyDescent="0.2">
      <c r="A928" s="247"/>
      <c r="B928" s="172"/>
      <c r="C928" s="171"/>
      <c r="D928" s="165"/>
      <c r="E928" s="166">
        <v>4</v>
      </c>
      <c r="F928" s="178"/>
      <c r="G928" s="180"/>
      <c r="H928" s="180"/>
      <c r="I928" s="180"/>
      <c r="J928" s="180"/>
      <c r="K928" s="180"/>
      <c r="L928" s="179"/>
      <c r="M928" s="291">
        <v>4</v>
      </c>
    </row>
    <row r="929" spans="1:13" ht="24" x14ac:dyDescent="0.2">
      <c r="A929" s="250" t="s">
        <v>827</v>
      </c>
      <c r="B929" s="350" t="s">
        <v>926</v>
      </c>
      <c r="C929" s="219" t="s">
        <v>833</v>
      </c>
      <c r="D929" s="351" t="s">
        <v>810</v>
      </c>
      <c r="E929" s="220"/>
      <c r="F929" s="352"/>
      <c r="G929" s="313"/>
      <c r="H929" s="313"/>
      <c r="I929" s="313"/>
      <c r="J929" s="313"/>
      <c r="K929" s="313"/>
      <c r="L929" s="312"/>
      <c r="M929" s="310">
        <v>9</v>
      </c>
    </row>
    <row r="930" spans="1:13" x14ac:dyDescent="0.2">
      <c r="A930" s="247"/>
      <c r="B930" s="172"/>
      <c r="C930" s="171"/>
      <c r="D930" s="165"/>
      <c r="E930" s="166">
        <v>9</v>
      </c>
      <c r="F930" s="178"/>
      <c r="G930" s="180"/>
      <c r="H930" s="180"/>
      <c r="I930" s="180"/>
      <c r="J930" s="180"/>
      <c r="K930" s="180"/>
      <c r="L930" s="179"/>
      <c r="M930" s="291">
        <v>9</v>
      </c>
    </row>
    <row r="931" spans="1:13" ht="24" x14ac:dyDescent="0.2">
      <c r="A931" s="247" t="s">
        <v>834</v>
      </c>
      <c r="B931" s="172" t="s">
        <v>927</v>
      </c>
      <c r="C931" s="171" t="s">
        <v>835</v>
      </c>
      <c r="D931" s="165" t="s">
        <v>810</v>
      </c>
      <c r="E931" s="166"/>
      <c r="F931" s="178"/>
      <c r="G931" s="179"/>
      <c r="H931" s="180"/>
      <c r="I931" s="180"/>
      <c r="J931" s="180"/>
      <c r="K931" s="180"/>
      <c r="L931" s="179"/>
      <c r="M931" s="246">
        <v>10</v>
      </c>
    </row>
    <row r="932" spans="1:13" x14ac:dyDescent="0.2">
      <c r="A932" s="247"/>
      <c r="B932" s="172"/>
      <c r="C932" s="171"/>
      <c r="D932" s="165"/>
      <c r="E932" s="166">
        <v>10</v>
      </c>
      <c r="F932" s="178"/>
      <c r="G932" s="179"/>
      <c r="H932" s="180"/>
      <c r="I932" s="180"/>
      <c r="J932" s="180"/>
      <c r="K932" s="180"/>
      <c r="L932" s="179"/>
      <c r="M932" s="291">
        <v>10</v>
      </c>
    </row>
    <row r="933" spans="1:13" ht="24" x14ac:dyDescent="0.2">
      <c r="A933" s="247" t="s">
        <v>834</v>
      </c>
      <c r="B933" s="172" t="s">
        <v>928</v>
      </c>
      <c r="C933" s="171" t="s">
        <v>836</v>
      </c>
      <c r="D933" s="165" t="s">
        <v>810</v>
      </c>
      <c r="E933" s="166"/>
      <c r="F933" s="178"/>
      <c r="G933" s="179"/>
      <c r="H933" s="180"/>
      <c r="I933" s="180"/>
      <c r="J933" s="180"/>
      <c r="K933" s="180"/>
      <c r="L933" s="179"/>
      <c r="M933" s="246">
        <v>6</v>
      </c>
    </row>
    <row r="934" spans="1:13" x14ac:dyDescent="0.2">
      <c r="A934" s="247"/>
      <c r="B934" s="172"/>
      <c r="C934" s="171"/>
      <c r="D934" s="165"/>
      <c r="E934" s="166">
        <v>6</v>
      </c>
      <c r="F934" s="178"/>
      <c r="G934" s="179"/>
      <c r="H934" s="180"/>
      <c r="I934" s="180"/>
      <c r="J934" s="180"/>
      <c r="K934" s="180"/>
      <c r="L934" s="179"/>
      <c r="M934" s="291">
        <v>6</v>
      </c>
    </row>
    <row r="935" spans="1:13" ht="24" x14ac:dyDescent="0.2">
      <c r="A935" s="247" t="s">
        <v>834</v>
      </c>
      <c r="B935" s="172" t="s">
        <v>929</v>
      </c>
      <c r="C935" s="171" t="s">
        <v>837</v>
      </c>
      <c r="D935" s="165" t="s">
        <v>810</v>
      </c>
      <c r="E935" s="166"/>
      <c r="F935" s="178"/>
      <c r="G935" s="179"/>
      <c r="H935" s="180"/>
      <c r="I935" s="180"/>
      <c r="J935" s="180"/>
      <c r="K935" s="180"/>
      <c r="L935" s="179"/>
      <c r="M935" s="246">
        <v>15</v>
      </c>
    </row>
    <row r="936" spans="1:13" x14ac:dyDescent="0.2">
      <c r="A936" s="247"/>
      <c r="B936" s="172"/>
      <c r="C936" s="171"/>
      <c r="D936" s="165"/>
      <c r="E936" s="166">
        <v>15</v>
      </c>
      <c r="F936" s="178"/>
      <c r="G936" s="179"/>
      <c r="H936" s="180"/>
      <c r="I936" s="180"/>
      <c r="J936" s="180"/>
      <c r="K936" s="180"/>
      <c r="L936" s="179"/>
      <c r="M936" s="291">
        <v>15</v>
      </c>
    </row>
    <row r="937" spans="1:13" ht="24" x14ac:dyDescent="0.2">
      <c r="A937" s="247" t="s">
        <v>830</v>
      </c>
      <c r="B937" s="172" t="s">
        <v>930</v>
      </c>
      <c r="C937" s="171" t="s">
        <v>838</v>
      </c>
      <c r="D937" s="165" t="s">
        <v>810</v>
      </c>
      <c r="E937" s="166"/>
      <c r="F937" s="178"/>
      <c r="G937" s="179"/>
      <c r="H937" s="180"/>
      <c r="I937" s="180"/>
      <c r="J937" s="180"/>
      <c r="K937" s="180"/>
      <c r="L937" s="179"/>
      <c r="M937" s="246">
        <v>1</v>
      </c>
    </row>
    <row r="938" spans="1:13" x14ac:dyDescent="0.2">
      <c r="A938" s="247"/>
      <c r="B938" s="172"/>
      <c r="C938" s="171"/>
      <c r="D938" s="165"/>
      <c r="E938" s="166">
        <v>1</v>
      </c>
      <c r="F938" s="178"/>
      <c r="G938" s="179"/>
      <c r="H938" s="180"/>
      <c r="I938" s="180"/>
      <c r="J938" s="180"/>
      <c r="K938" s="180"/>
      <c r="L938" s="179"/>
      <c r="M938" s="291">
        <v>1</v>
      </c>
    </row>
    <row r="939" spans="1:13" ht="24" x14ac:dyDescent="0.2">
      <c r="A939" s="247" t="s">
        <v>830</v>
      </c>
      <c r="B939" s="172" t="s">
        <v>931</v>
      </c>
      <c r="C939" s="171" t="s">
        <v>839</v>
      </c>
      <c r="D939" s="165" t="s">
        <v>810</v>
      </c>
      <c r="E939" s="166"/>
      <c r="F939" s="178"/>
      <c r="G939" s="179"/>
      <c r="H939" s="180"/>
      <c r="I939" s="180"/>
      <c r="J939" s="180"/>
      <c r="K939" s="180"/>
      <c r="L939" s="179"/>
      <c r="M939" s="246">
        <v>2</v>
      </c>
    </row>
    <row r="940" spans="1:13" x14ac:dyDescent="0.2">
      <c r="A940" s="247"/>
      <c r="B940" s="172"/>
      <c r="C940" s="171"/>
      <c r="D940" s="165"/>
      <c r="E940" s="166">
        <v>2</v>
      </c>
      <c r="F940" s="178"/>
      <c r="G940" s="179"/>
      <c r="H940" s="180"/>
      <c r="I940" s="180"/>
      <c r="J940" s="180"/>
      <c r="K940" s="180"/>
      <c r="L940" s="179"/>
      <c r="M940" s="291">
        <v>2</v>
      </c>
    </row>
    <row r="941" spans="1:13" ht="60" x14ac:dyDescent="0.2">
      <c r="A941" s="247" t="s">
        <v>840</v>
      </c>
      <c r="B941" s="172" t="s">
        <v>932</v>
      </c>
      <c r="C941" s="171" t="s">
        <v>841</v>
      </c>
      <c r="D941" s="172" t="s">
        <v>803</v>
      </c>
      <c r="E941" s="166"/>
      <c r="F941" s="182"/>
      <c r="G941" s="179"/>
      <c r="H941" s="180"/>
      <c r="I941" s="180"/>
      <c r="J941" s="180"/>
      <c r="K941" s="180"/>
      <c r="L941" s="179"/>
      <c r="M941" s="246">
        <v>37</v>
      </c>
    </row>
    <row r="942" spans="1:13" x14ac:dyDescent="0.2">
      <c r="A942" s="247"/>
      <c r="B942" s="170"/>
      <c r="C942" s="160"/>
      <c r="D942" s="165"/>
      <c r="E942" s="166">
        <v>37</v>
      </c>
      <c r="F942" s="182"/>
      <c r="G942" s="179"/>
      <c r="H942" s="180"/>
      <c r="I942" s="180"/>
      <c r="J942" s="180"/>
      <c r="K942" s="180"/>
      <c r="L942" s="179"/>
      <c r="M942" s="291">
        <v>37</v>
      </c>
    </row>
    <row r="943" spans="1:13" ht="36" x14ac:dyDescent="0.2">
      <c r="A943" s="247" t="s">
        <v>842</v>
      </c>
      <c r="B943" s="172" t="s">
        <v>933</v>
      </c>
      <c r="C943" s="171" t="s">
        <v>843</v>
      </c>
      <c r="D943" s="165" t="s">
        <v>810</v>
      </c>
      <c r="E943" s="166"/>
      <c r="F943" s="178"/>
      <c r="G943" s="179"/>
      <c r="H943" s="180"/>
      <c r="I943" s="180"/>
      <c r="J943" s="180"/>
      <c r="K943" s="180"/>
      <c r="L943" s="179"/>
      <c r="M943" s="246">
        <v>9</v>
      </c>
    </row>
    <row r="944" spans="1:13" x14ac:dyDescent="0.2">
      <c r="A944" s="248"/>
      <c r="B944" s="172"/>
      <c r="C944" s="173"/>
      <c r="D944" s="181"/>
      <c r="E944" s="165">
        <v>9</v>
      </c>
      <c r="F944" s="178"/>
      <c r="G944" s="179"/>
      <c r="H944" s="180"/>
      <c r="I944" s="180"/>
      <c r="J944" s="180"/>
      <c r="K944" s="180"/>
      <c r="L944" s="179"/>
      <c r="M944" s="291">
        <v>9</v>
      </c>
    </row>
    <row r="945" spans="1:13" ht="60" x14ac:dyDescent="0.2">
      <c r="A945" s="247" t="s">
        <v>844</v>
      </c>
      <c r="B945" s="172" t="s">
        <v>934</v>
      </c>
      <c r="C945" s="171" t="s">
        <v>845</v>
      </c>
      <c r="D945" s="165" t="s">
        <v>810</v>
      </c>
      <c r="E945" s="166"/>
      <c r="F945" s="178"/>
      <c r="G945" s="179"/>
      <c r="H945" s="180"/>
      <c r="I945" s="180"/>
      <c r="J945" s="180"/>
      <c r="K945" s="180"/>
      <c r="L945" s="179"/>
      <c r="M945" s="246">
        <v>9</v>
      </c>
    </row>
    <row r="946" spans="1:13" x14ac:dyDescent="0.2">
      <c r="A946" s="247"/>
      <c r="B946" s="172"/>
      <c r="C946" s="171"/>
      <c r="D946" s="172"/>
      <c r="E946" s="166">
        <v>9</v>
      </c>
      <c r="F946" s="178"/>
      <c r="G946" s="179"/>
      <c r="H946" s="180"/>
      <c r="I946" s="180"/>
      <c r="J946" s="180"/>
      <c r="K946" s="180"/>
      <c r="L946" s="179"/>
      <c r="M946" s="291">
        <v>9</v>
      </c>
    </row>
    <row r="947" spans="1:13" x14ac:dyDescent="0.2">
      <c r="A947" s="247"/>
      <c r="B947" s="172"/>
      <c r="C947" s="171"/>
      <c r="D947" s="165"/>
      <c r="E947" s="166"/>
      <c r="F947" s="182"/>
      <c r="G947" s="179"/>
      <c r="H947" s="179"/>
      <c r="I947" s="179"/>
      <c r="J947" s="179"/>
      <c r="K947" s="179"/>
      <c r="L947" s="179"/>
      <c r="M947" s="291"/>
    </row>
    <row r="948" spans="1:13" ht="84" x14ac:dyDescent="0.2">
      <c r="A948" s="251" t="s">
        <v>846</v>
      </c>
      <c r="B948" s="172" t="s">
        <v>935</v>
      </c>
      <c r="C948" s="171" t="s">
        <v>847</v>
      </c>
      <c r="D948" s="165" t="s">
        <v>810</v>
      </c>
      <c r="E948" s="184"/>
      <c r="F948" s="185"/>
      <c r="G948" s="186"/>
      <c r="H948" s="187"/>
      <c r="I948" s="187"/>
      <c r="J948" s="187"/>
      <c r="K948" s="187"/>
      <c r="L948" s="187"/>
      <c r="M948" s="246">
        <v>1</v>
      </c>
    </row>
    <row r="949" spans="1:13" x14ac:dyDescent="0.2">
      <c r="A949" s="292"/>
      <c r="B949" s="188"/>
      <c r="C949" s="189"/>
      <c r="D949" s="188"/>
      <c r="E949" s="184">
        <v>1</v>
      </c>
      <c r="F949" s="185"/>
      <c r="G949" s="186"/>
      <c r="H949" s="187"/>
      <c r="I949" s="187"/>
      <c r="J949" s="187"/>
      <c r="K949" s="187"/>
      <c r="L949" s="187"/>
      <c r="M949" s="293">
        <v>1</v>
      </c>
    </row>
    <row r="950" spans="1:13" ht="36" x14ac:dyDescent="0.2">
      <c r="A950" s="247" t="s">
        <v>848</v>
      </c>
      <c r="B950" s="172" t="s">
        <v>1014</v>
      </c>
      <c r="C950" s="171" t="s">
        <v>849</v>
      </c>
      <c r="D950" s="165" t="s">
        <v>810</v>
      </c>
      <c r="E950" s="184"/>
      <c r="F950" s="185"/>
      <c r="G950" s="186"/>
      <c r="H950" s="187"/>
      <c r="I950" s="187"/>
      <c r="J950" s="187"/>
      <c r="K950" s="187"/>
      <c r="L950" s="187"/>
      <c r="M950" s="246">
        <v>5</v>
      </c>
    </row>
    <row r="951" spans="1:13" x14ac:dyDescent="0.2">
      <c r="A951" s="247"/>
      <c r="B951" s="172"/>
      <c r="C951" s="190"/>
      <c r="D951" s="172"/>
      <c r="E951" s="166">
        <v>5</v>
      </c>
      <c r="F951" s="191"/>
      <c r="G951" s="192"/>
      <c r="H951" s="193"/>
      <c r="I951" s="193"/>
      <c r="J951" s="193"/>
      <c r="K951" s="193"/>
      <c r="L951" s="192"/>
      <c r="M951" s="294">
        <v>5</v>
      </c>
    </row>
    <row r="952" spans="1:13" ht="36" x14ac:dyDescent="0.2">
      <c r="A952" s="247" t="s">
        <v>850</v>
      </c>
      <c r="B952" s="172" t="s">
        <v>937</v>
      </c>
      <c r="C952" s="171" t="s">
        <v>851</v>
      </c>
      <c r="D952" s="165" t="s">
        <v>803</v>
      </c>
      <c r="E952" s="166"/>
      <c r="F952" s="194"/>
      <c r="G952" s="192"/>
      <c r="H952" s="192"/>
      <c r="I952" s="192"/>
      <c r="J952" s="192"/>
      <c r="K952" s="192"/>
      <c r="L952" s="192"/>
      <c r="M952" s="246">
        <v>350</v>
      </c>
    </row>
    <row r="953" spans="1:13" x14ac:dyDescent="0.2">
      <c r="A953" s="247"/>
      <c r="B953" s="172"/>
      <c r="C953" s="195"/>
      <c r="D953" s="172"/>
      <c r="E953" s="166"/>
      <c r="F953" s="194"/>
      <c r="G953" s="192">
        <v>350</v>
      </c>
      <c r="H953" s="192"/>
      <c r="I953" s="192"/>
      <c r="J953" s="192"/>
      <c r="K953" s="192"/>
      <c r="L953" s="192"/>
      <c r="M953" s="294">
        <v>350</v>
      </c>
    </row>
    <row r="954" spans="1:13" ht="24" x14ac:dyDescent="0.2">
      <c r="A954" s="247" t="s">
        <v>852</v>
      </c>
      <c r="B954" s="172" t="s">
        <v>938</v>
      </c>
      <c r="C954" s="171" t="s">
        <v>853</v>
      </c>
      <c r="D954" s="165" t="s">
        <v>854</v>
      </c>
      <c r="E954" s="166"/>
      <c r="F954" s="194"/>
      <c r="G954" s="192"/>
      <c r="H954" s="192"/>
      <c r="I954" s="192"/>
      <c r="J954" s="192"/>
      <c r="K954" s="192"/>
      <c r="L954" s="192"/>
      <c r="M954" s="246">
        <v>220</v>
      </c>
    </row>
    <row r="955" spans="1:13" x14ac:dyDescent="0.2">
      <c r="A955" s="247"/>
      <c r="B955" s="172"/>
      <c r="C955" s="171"/>
      <c r="D955" s="165"/>
      <c r="E955" s="166">
        <v>220</v>
      </c>
      <c r="F955" s="194"/>
      <c r="G955" s="192"/>
      <c r="H955" s="192"/>
      <c r="I955" s="192"/>
      <c r="J955" s="192"/>
      <c r="K955" s="192"/>
      <c r="L955" s="192"/>
      <c r="M955" s="294">
        <v>220</v>
      </c>
    </row>
    <row r="956" spans="1:13" ht="24" x14ac:dyDescent="0.2">
      <c r="A956" s="247" t="s">
        <v>855</v>
      </c>
      <c r="B956" s="172" t="s">
        <v>939</v>
      </c>
      <c r="C956" s="171" t="s">
        <v>856</v>
      </c>
      <c r="D956" s="165" t="s">
        <v>854</v>
      </c>
      <c r="E956" s="166"/>
      <c r="F956" s="194"/>
      <c r="G956" s="192"/>
      <c r="H956" s="192"/>
      <c r="I956" s="192"/>
      <c r="J956" s="192"/>
      <c r="K956" s="192"/>
      <c r="L956" s="192"/>
      <c r="M956" s="246">
        <v>220</v>
      </c>
    </row>
    <row r="957" spans="1:13" x14ac:dyDescent="0.2">
      <c r="A957" s="247"/>
      <c r="B957" s="172"/>
      <c r="C957" s="196"/>
      <c r="D957" s="172"/>
      <c r="E957" s="166">
        <v>220</v>
      </c>
      <c r="F957" s="194"/>
      <c r="G957" s="192"/>
      <c r="H957" s="192"/>
      <c r="I957" s="192"/>
      <c r="J957" s="192"/>
      <c r="K957" s="192"/>
      <c r="L957" s="192"/>
      <c r="M957" s="294">
        <v>220</v>
      </c>
    </row>
    <row r="958" spans="1:13" ht="24" x14ac:dyDescent="0.2">
      <c r="A958" s="247"/>
      <c r="B958" s="172" t="s">
        <v>940</v>
      </c>
      <c r="C958" s="171" t="s">
        <v>998</v>
      </c>
      <c r="D958" s="165" t="s">
        <v>810</v>
      </c>
      <c r="E958" s="166"/>
      <c r="F958" s="194"/>
      <c r="G958" s="192"/>
      <c r="H958" s="192"/>
      <c r="I958" s="192"/>
      <c r="J958" s="192"/>
      <c r="K958" s="192"/>
      <c r="L958" s="192"/>
      <c r="M958" s="246">
        <v>1</v>
      </c>
    </row>
    <row r="959" spans="1:13" x14ac:dyDescent="0.2">
      <c r="A959" s="247"/>
      <c r="B959" s="172"/>
      <c r="C959" s="196"/>
      <c r="D959" s="172"/>
      <c r="E959" s="166">
        <v>1</v>
      </c>
      <c r="F959" s="194"/>
      <c r="G959" s="192"/>
      <c r="H959" s="192"/>
      <c r="I959" s="192"/>
      <c r="J959" s="192"/>
      <c r="K959" s="192"/>
      <c r="L959" s="192"/>
      <c r="M959" s="294">
        <v>1</v>
      </c>
    </row>
    <row r="960" spans="1:13" ht="60" x14ac:dyDescent="0.2">
      <c r="A960" s="247" t="s">
        <v>858</v>
      </c>
      <c r="B960" s="172" t="s">
        <v>941</v>
      </c>
      <c r="C960" s="171" t="s">
        <v>859</v>
      </c>
      <c r="D960" s="172" t="s">
        <v>860</v>
      </c>
      <c r="E960" s="166"/>
      <c r="F960" s="194"/>
      <c r="G960" s="192"/>
      <c r="H960" s="192"/>
      <c r="I960" s="192"/>
      <c r="J960" s="192"/>
      <c r="K960" s="192"/>
      <c r="L960" s="192"/>
      <c r="M960" s="246">
        <v>3.2</v>
      </c>
    </row>
    <row r="961" spans="1:13" x14ac:dyDescent="0.2">
      <c r="A961" s="247"/>
      <c r="B961" s="172"/>
      <c r="C961" s="196"/>
      <c r="D961" s="172"/>
      <c r="E961" s="166"/>
      <c r="F961" s="194"/>
      <c r="G961" s="192"/>
      <c r="H961" s="192"/>
      <c r="I961" s="192"/>
      <c r="J961" s="192"/>
      <c r="K961" s="192"/>
      <c r="L961" s="192">
        <v>3.2</v>
      </c>
      <c r="M961" s="294">
        <v>3.2</v>
      </c>
    </row>
    <row r="962" spans="1:13" ht="24" x14ac:dyDescent="0.2">
      <c r="A962" s="247"/>
      <c r="B962" s="172" t="s">
        <v>942</v>
      </c>
      <c r="C962" s="171" t="s">
        <v>999</v>
      </c>
      <c r="D962" s="165" t="s">
        <v>810</v>
      </c>
      <c r="E962" s="166"/>
      <c r="F962" s="194"/>
      <c r="G962" s="192"/>
      <c r="H962" s="192"/>
      <c r="I962" s="192"/>
      <c r="J962" s="192"/>
      <c r="K962" s="192"/>
      <c r="L962" s="192"/>
      <c r="M962" s="246">
        <v>1</v>
      </c>
    </row>
    <row r="963" spans="1:13" x14ac:dyDescent="0.2">
      <c r="A963" s="247"/>
      <c r="B963" s="172"/>
      <c r="C963" s="196"/>
      <c r="D963" s="172"/>
      <c r="E963" s="166">
        <v>1</v>
      </c>
      <c r="F963" s="194"/>
      <c r="G963" s="192"/>
      <c r="H963" s="192"/>
      <c r="I963" s="192"/>
      <c r="J963" s="192"/>
      <c r="K963" s="192"/>
      <c r="L963" s="192"/>
      <c r="M963" s="294">
        <v>1</v>
      </c>
    </row>
    <row r="964" spans="1:13" ht="24" x14ac:dyDescent="0.2">
      <c r="A964" s="247" t="s">
        <v>862</v>
      </c>
      <c r="B964" s="172" t="s">
        <v>943</v>
      </c>
      <c r="C964" s="171" t="s">
        <v>863</v>
      </c>
      <c r="D964" s="165" t="s">
        <v>810</v>
      </c>
      <c r="E964" s="166"/>
      <c r="F964" s="194"/>
      <c r="G964" s="192"/>
      <c r="H964" s="192"/>
      <c r="I964" s="192"/>
      <c r="J964" s="192"/>
      <c r="K964" s="192"/>
      <c r="L964" s="192"/>
      <c r="M964" s="246">
        <v>1</v>
      </c>
    </row>
    <row r="965" spans="1:13" x14ac:dyDescent="0.2">
      <c r="A965" s="247"/>
      <c r="B965" s="172"/>
      <c r="C965" s="196"/>
      <c r="D965" s="172"/>
      <c r="E965" s="166">
        <v>1</v>
      </c>
      <c r="F965" s="194"/>
      <c r="G965" s="192"/>
      <c r="H965" s="192"/>
      <c r="I965" s="192"/>
      <c r="J965" s="192"/>
      <c r="K965" s="192"/>
      <c r="L965" s="192"/>
      <c r="M965" s="294">
        <v>1</v>
      </c>
    </row>
    <row r="966" spans="1:13" ht="96" x14ac:dyDescent="0.2">
      <c r="A966" s="247" t="s">
        <v>864</v>
      </c>
      <c r="B966" s="172" t="s">
        <v>944</v>
      </c>
      <c r="C966" s="171" t="s">
        <v>865</v>
      </c>
      <c r="D966" s="165" t="s">
        <v>810</v>
      </c>
      <c r="E966" s="166"/>
      <c r="F966" s="194"/>
      <c r="G966" s="192"/>
      <c r="H966" s="192"/>
      <c r="I966" s="192"/>
      <c r="J966" s="192"/>
      <c r="K966" s="192"/>
      <c r="L966" s="192"/>
      <c r="M966" s="246">
        <v>1</v>
      </c>
    </row>
    <row r="967" spans="1:13" x14ac:dyDescent="0.2">
      <c r="A967" s="247"/>
      <c r="B967" s="172"/>
      <c r="C967" s="196"/>
      <c r="D967" s="172"/>
      <c r="E967" s="166">
        <v>1</v>
      </c>
      <c r="F967" s="194"/>
      <c r="G967" s="192"/>
      <c r="H967" s="192"/>
      <c r="I967" s="192"/>
      <c r="J967" s="192"/>
      <c r="K967" s="192"/>
      <c r="L967" s="192"/>
      <c r="M967" s="294">
        <v>1</v>
      </c>
    </row>
    <row r="968" spans="1:13" ht="72" x14ac:dyDescent="0.2">
      <c r="A968" s="247" t="s">
        <v>866</v>
      </c>
      <c r="B968" s="172" t="s">
        <v>945</v>
      </c>
      <c r="C968" s="171" t="s">
        <v>867</v>
      </c>
      <c r="D968" s="165" t="s">
        <v>810</v>
      </c>
      <c r="E968" s="166"/>
      <c r="F968" s="194"/>
      <c r="G968" s="192"/>
      <c r="H968" s="192"/>
      <c r="I968" s="192"/>
      <c r="J968" s="192"/>
      <c r="K968" s="192"/>
      <c r="L968" s="192"/>
      <c r="M968" s="246">
        <v>1</v>
      </c>
    </row>
    <row r="969" spans="1:13" x14ac:dyDescent="0.2">
      <c r="A969" s="247"/>
      <c r="B969" s="172"/>
      <c r="C969" s="196"/>
      <c r="D969" s="172"/>
      <c r="E969" s="166">
        <v>1</v>
      </c>
      <c r="F969" s="194"/>
      <c r="G969" s="192"/>
      <c r="H969" s="192"/>
      <c r="I969" s="192"/>
      <c r="J969" s="192"/>
      <c r="K969" s="192"/>
      <c r="L969" s="192"/>
      <c r="M969" s="294">
        <v>1</v>
      </c>
    </row>
    <row r="970" spans="1:13" ht="24" x14ac:dyDescent="0.2">
      <c r="A970" s="250"/>
      <c r="B970" s="350" t="s">
        <v>946</v>
      </c>
      <c r="C970" s="219" t="s">
        <v>1000</v>
      </c>
      <c r="D970" s="351" t="s">
        <v>810</v>
      </c>
      <c r="E970" s="220"/>
      <c r="F970" s="353"/>
      <c r="G970" s="309"/>
      <c r="H970" s="309"/>
      <c r="I970" s="309"/>
      <c r="J970" s="309"/>
      <c r="K970" s="309"/>
      <c r="L970" s="309"/>
      <c r="M970" s="310">
        <v>1</v>
      </c>
    </row>
    <row r="971" spans="1:13" x14ac:dyDescent="0.2">
      <c r="A971" s="247"/>
      <c r="B971" s="172"/>
      <c r="C971" s="196"/>
      <c r="D971" s="172"/>
      <c r="E971" s="166">
        <v>1</v>
      </c>
      <c r="F971" s="194"/>
      <c r="G971" s="192"/>
      <c r="H971" s="192"/>
      <c r="I971" s="192"/>
      <c r="J971" s="192"/>
      <c r="K971" s="192"/>
      <c r="L971" s="192"/>
      <c r="M971" s="294">
        <v>1</v>
      </c>
    </row>
    <row r="972" spans="1:13" ht="36" x14ac:dyDescent="0.2">
      <c r="A972" s="247" t="s">
        <v>869</v>
      </c>
      <c r="B972" s="172" t="s">
        <v>947</v>
      </c>
      <c r="C972" s="171" t="s">
        <v>870</v>
      </c>
      <c r="D972" s="165" t="s">
        <v>803</v>
      </c>
      <c r="E972" s="166"/>
      <c r="F972" s="194"/>
      <c r="G972" s="192"/>
      <c r="H972" s="192"/>
      <c r="I972" s="192"/>
      <c r="J972" s="192"/>
      <c r="K972" s="192"/>
      <c r="L972" s="192"/>
      <c r="M972" s="246">
        <v>72</v>
      </c>
    </row>
    <row r="973" spans="1:13" x14ac:dyDescent="0.2">
      <c r="A973" s="247"/>
      <c r="B973" s="172"/>
      <c r="C973" s="196"/>
      <c r="D973" s="172"/>
      <c r="E973" s="166"/>
      <c r="F973" s="194"/>
      <c r="G973" s="192">
        <v>72</v>
      </c>
      <c r="H973" s="192"/>
      <c r="I973" s="192"/>
      <c r="J973" s="192"/>
      <c r="K973" s="192"/>
      <c r="L973" s="192"/>
      <c r="M973" s="294">
        <v>72</v>
      </c>
    </row>
    <row r="974" spans="1:13" ht="24" x14ac:dyDescent="0.2">
      <c r="A974" s="247">
        <v>91940</v>
      </c>
      <c r="B974" s="172" t="s">
        <v>948</v>
      </c>
      <c r="C974" s="171" t="s">
        <v>1001</v>
      </c>
      <c r="D974" s="165" t="s">
        <v>810</v>
      </c>
      <c r="E974" s="166"/>
      <c r="F974" s="194"/>
      <c r="G974" s="192"/>
      <c r="H974" s="192"/>
      <c r="I974" s="192"/>
      <c r="J974" s="192"/>
      <c r="K974" s="192"/>
      <c r="L974" s="192"/>
      <c r="M974" s="246">
        <v>160</v>
      </c>
    </row>
    <row r="975" spans="1:13" x14ac:dyDescent="0.2">
      <c r="A975" s="247"/>
      <c r="B975" s="172"/>
      <c r="C975" s="196"/>
      <c r="D975" s="172"/>
      <c r="E975" s="166">
        <v>160</v>
      </c>
      <c r="F975" s="194"/>
      <c r="G975" s="192"/>
      <c r="H975" s="192"/>
      <c r="I975" s="192"/>
      <c r="J975" s="192"/>
      <c r="K975" s="192"/>
      <c r="L975" s="192"/>
      <c r="M975" s="294">
        <v>160</v>
      </c>
    </row>
    <row r="976" spans="1:13" ht="48" x14ac:dyDescent="0.2">
      <c r="A976" s="247" t="s">
        <v>872</v>
      </c>
      <c r="B976" s="172" t="s">
        <v>949</v>
      </c>
      <c r="C976" s="171" t="s">
        <v>873</v>
      </c>
      <c r="D976" s="172" t="s">
        <v>803</v>
      </c>
      <c r="E976" s="166"/>
      <c r="F976" s="194"/>
      <c r="G976" s="192"/>
      <c r="H976" s="192"/>
      <c r="I976" s="192"/>
      <c r="J976" s="192"/>
      <c r="K976" s="192"/>
      <c r="L976" s="192"/>
      <c r="M976" s="246">
        <v>400</v>
      </c>
    </row>
    <row r="977" spans="1:13" x14ac:dyDescent="0.2">
      <c r="A977" s="247"/>
      <c r="B977" s="172"/>
      <c r="C977" s="196"/>
      <c r="D977" s="172"/>
      <c r="E977" s="166"/>
      <c r="F977" s="194"/>
      <c r="G977" s="192">
        <v>400</v>
      </c>
      <c r="H977" s="192"/>
      <c r="I977" s="192"/>
      <c r="J977" s="192"/>
      <c r="K977" s="192"/>
      <c r="L977" s="192"/>
      <c r="M977" s="294">
        <v>400</v>
      </c>
    </row>
    <row r="978" spans="1:13" ht="60" x14ac:dyDescent="0.2">
      <c r="A978" s="247" t="s">
        <v>874</v>
      </c>
      <c r="B978" s="172" t="s">
        <v>950</v>
      </c>
      <c r="C978" s="171" t="s">
        <v>875</v>
      </c>
      <c r="D978" s="172" t="s">
        <v>803</v>
      </c>
      <c r="E978" s="166"/>
      <c r="F978" s="194"/>
      <c r="G978" s="192"/>
      <c r="H978" s="192"/>
      <c r="I978" s="192"/>
      <c r="J978" s="192"/>
      <c r="K978" s="192"/>
      <c r="L978" s="192"/>
      <c r="M978" s="246">
        <v>5500</v>
      </c>
    </row>
    <row r="979" spans="1:13" x14ac:dyDescent="0.2">
      <c r="A979" s="247"/>
      <c r="B979" s="172"/>
      <c r="C979" s="196"/>
      <c r="D979" s="172"/>
      <c r="E979" s="166"/>
      <c r="F979" s="194"/>
      <c r="G979" s="192">
        <v>5500</v>
      </c>
      <c r="H979" s="192"/>
      <c r="I979" s="192"/>
      <c r="J979" s="192"/>
      <c r="K979" s="192"/>
      <c r="L979" s="192"/>
      <c r="M979" s="294">
        <v>5500</v>
      </c>
    </row>
    <row r="980" spans="1:13" ht="60" x14ac:dyDescent="0.2">
      <c r="A980" s="247" t="s">
        <v>876</v>
      </c>
      <c r="B980" s="172" t="s">
        <v>951</v>
      </c>
      <c r="C980" s="171" t="s">
        <v>877</v>
      </c>
      <c r="D980" s="172" t="s">
        <v>803</v>
      </c>
      <c r="E980" s="166"/>
      <c r="F980" s="194"/>
      <c r="G980" s="192"/>
      <c r="H980" s="192"/>
      <c r="I980" s="192"/>
      <c r="J980" s="192"/>
      <c r="K980" s="192"/>
      <c r="L980" s="192"/>
      <c r="M980" s="246">
        <v>4500</v>
      </c>
    </row>
    <row r="981" spans="1:13" x14ac:dyDescent="0.2">
      <c r="A981" s="247"/>
      <c r="B981" s="172"/>
      <c r="C981" s="196"/>
      <c r="D981" s="172"/>
      <c r="E981" s="166"/>
      <c r="F981" s="194"/>
      <c r="G981" s="192">
        <v>4500</v>
      </c>
      <c r="H981" s="192"/>
      <c r="I981" s="192"/>
      <c r="J981" s="192"/>
      <c r="K981" s="192"/>
      <c r="L981" s="192"/>
      <c r="M981" s="294">
        <v>4500</v>
      </c>
    </row>
    <row r="982" spans="1:13" ht="84" x14ac:dyDescent="0.2">
      <c r="A982" s="247" t="s">
        <v>1002</v>
      </c>
      <c r="B982" s="172" t="s">
        <v>952</v>
      </c>
      <c r="C982" s="171" t="s">
        <v>1003</v>
      </c>
      <c r="D982" s="165" t="s">
        <v>810</v>
      </c>
      <c r="E982" s="166"/>
      <c r="F982" s="194"/>
      <c r="G982" s="192"/>
      <c r="H982" s="192"/>
      <c r="I982" s="192"/>
      <c r="J982" s="192"/>
      <c r="K982" s="192"/>
      <c r="L982" s="192"/>
      <c r="M982" s="246">
        <v>1</v>
      </c>
    </row>
    <row r="983" spans="1:13" x14ac:dyDescent="0.2">
      <c r="A983" s="247"/>
      <c r="B983" s="172"/>
      <c r="C983" s="196"/>
      <c r="D983" s="172"/>
      <c r="E983" s="166">
        <v>1</v>
      </c>
      <c r="F983" s="194"/>
      <c r="G983" s="192"/>
      <c r="H983" s="192"/>
      <c r="I983" s="192"/>
      <c r="J983" s="192"/>
      <c r="K983" s="192"/>
      <c r="L983" s="192"/>
      <c r="M983" s="294">
        <v>1</v>
      </c>
    </row>
    <row r="984" spans="1:13" ht="60" x14ac:dyDescent="0.2">
      <c r="A984" s="247" t="s">
        <v>840</v>
      </c>
      <c r="B984" s="172" t="s">
        <v>953</v>
      </c>
      <c r="C984" s="171" t="s">
        <v>880</v>
      </c>
      <c r="D984" s="172" t="s">
        <v>803</v>
      </c>
      <c r="E984" s="166"/>
      <c r="F984" s="194"/>
      <c r="G984" s="192"/>
      <c r="H984" s="192"/>
      <c r="I984" s="192"/>
      <c r="J984" s="192"/>
      <c r="K984" s="192"/>
      <c r="L984" s="192"/>
      <c r="M984" s="246">
        <v>356</v>
      </c>
    </row>
    <row r="985" spans="1:13" x14ac:dyDescent="0.2">
      <c r="A985" s="247"/>
      <c r="B985" s="172"/>
      <c r="C985" s="171"/>
      <c r="D985" s="172"/>
      <c r="E985" s="166"/>
      <c r="F985" s="194"/>
      <c r="G985" s="192">
        <v>356</v>
      </c>
      <c r="H985" s="192"/>
      <c r="I985" s="192"/>
      <c r="J985" s="192"/>
      <c r="K985" s="192"/>
      <c r="L985" s="192"/>
      <c r="M985" s="294">
        <v>356</v>
      </c>
    </row>
    <row r="986" spans="1:13" ht="60" x14ac:dyDescent="0.2">
      <c r="A986" s="247" t="s">
        <v>840</v>
      </c>
      <c r="B986" s="172" t="s">
        <v>954</v>
      </c>
      <c r="C986" s="171" t="s">
        <v>881</v>
      </c>
      <c r="D986" s="172" t="s">
        <v>803</v>
      </c>
      <c r="E986" s="166"/>
      <c r="F986" s="194"/>
      <c r="G986" s="192"/>
      <c r="H986" s="192"/>
      <c r="I986" s="192"/>
      <c r="J986" s="192"/>
      <c r="K986" s="192"/>
      <c r="L986" s="192"/>
      <c r="M986" s="246">
        <v>110</v>
      </c>
    </row>
    <row r="987" spans="1:13" x14ac:dyDescent="0.2">
      <c r="A987" s="247"/>
      <c r="B987" s="172"/>
      <c r="C987" s="196"/>
      <c r="D987" s="172"/>
      <c r="E987" s="166"/>
      <c r="F987" s="194"/>
      <c r="G987" s="192">
        <v>110</v>
      </c>
      <c r="H987" s="192"/>
      <c r="I987" s="192"/>
      <c r="J987" s="192"/>
      <c r="K987" s="192"/>
      <c r="L987" s="192"/>
      <c r="M987" s="294">
        <v>110</v>
      </c>
    </row>
    <row r="988" spans="1:13" ht="60" x14ac:dyDescent="0.2">
      <c r="A988" s="247" t="s">
        <v>882</v>
      </c>
      <c r="B988" s="172" t="s">
        <v>955</v>
      </c>
      <c r="C988" s="171" t="s">
        <v>883</v>
      </c>
      <c r="D988" s="172" t="s">
        <v>803</v>
      </c>
      <c r="E988" s="166"/>
      <c r="F988" s="194"/>
      <c r="G988" s="192"/>
      <c r="H988" s="192"/>
      <c r="I988" s="192"/>
      <c r="J988" s="192"/>
      <c r="K988" s="192"/>
      <c r="L988" s="192"/>
      <c r="M988" s="246">
        <v>110</v>
      </c>
    </row>
    <row r="989" spans="1:13" x14ac:dyDescent="0.2">
      <c r="A989" s="247"/>
      <c r="B989" s="172"/>
      <c r="C989" s="196"/>
      <c r="D989" s="172"/>
      <c r="E989" s="166"/>
      <c r="F989" s="194"/>
      <c r="G989" s="192">
        <v>110</v>
      </c>
      <c r="H989" s="192"/>
      <c r="I989" s="192"/>
      <c r="J989" s="192"/>
      <c r="K989" s="192"/>
      <c r="L989" s="192"/>
      <c r="M989" s="294">
        <v>110</v>
      </c>
    </row>
    <row r="990" spans="1:13" ht="60" x14ac:dyDescent="0.2">
      <c r="A990" s="247" t="s">
        <v>884</v>
      </c>
      <c r="B990" s="172" t="s">
        <v>956</v>
      </c>
      <c r="C990" s="171" t="s">
        <v>885</v>
      </c>
      <c r="D990" s="172" t="s">
        <v>803</v>
      </c>
      <c r="E990" s="166"/>
      <c r="F990" s="194"/>
      <c r="G990" s="192"/>
      <c r="H990" s="192"/>
      <c r="I990" s="192"/>
      <c r="J990" s="192"/>
      <c r="K990" s="192"/>
      <c r="L990" s="192"/>
      <c r="M990" s="246">
        <v>180</v>
      </c>
    </row>
    <row r="991" spans="1:13" x14ac:dyDescent="0.2">
      <c r="A991" s="247"/>
      <c r="B991" s="172"/>
      <c r="C991" s="196"/>
      <c r="D991" s="172"/>
      <c r="E991" s="166"/>
      <c r="F991" s="194"/>
      <c r="G991" s="192">
        <v>180</v>
      </c>
      <c r="H991" s="192"/>
      <c r="I991" s="192"/>
      <c r="J991" s="192"/>
      <c r="K991" s="192"/>
      <c r="L991" s="192"/>
      <c r="M991" s="294">
        <v>180</v>
      </c>
    </row>
    <row r="992" spans="1:13" ht="60" x14ac:dyDescent="0.2">
      <c r="A992" s="247" t="s">
        <v>884</v>
      </c>
      <c r="B992" s="172" t="s">
        <v>957</v>
      </c>
      <c r="C992" s="171" t="s">
        <v>886</v>
      </c>
      <c r="D992" s="172" t="s">
        <v>803</v>
      </c>
      <c r="E992" s="166"/>
      <c r="F992" s="194"/>
      <c r="G992" s="192"/>
      <c r="H992" s="192"/>
      <c r="I992" s="192"/>
      <c r="J992" s="192"/>
      <c r="K992" s="192"/>
      <c r="L992" s="192"/>
      <c r="M992" s="246">
        <v>60</v>
      </c>
    </row>
    <row r="993" spans="1:13" x14ac:dyDescent="0.2">
      <c r="A993" s="247"/>
      <c r="B993" s="172"/>
      <c r="C993" s="171"/>
      <c r="D993" s="172"/>
      <c r="E993" s="166"/>
      <c r="F993" s="194"/>
      <c r="G993" s="192">
        <v>60</v>
      </c>
      <c r="H993" s="192"/>
      <c r="I993" s="192"/>
      <c r="J993" s="192"/>
      <c r="K993" s="192"/>
      <c r="L993" s="192"/>
      <c r="M993" s="294">
        <v>60</v>
      </c>
    </row>
    <row r="994" spans="1:13" ht="60" x14ac:dyDescent="0.2">
      <c r="A994" s="247" t="s">
        <v>887</v>
      </c>
      <c r="B994" s="172" t="s">
        <v>958</v>
      </c>
      <c r="C994" s="171" t="s">
        <v>888</v>
      </c>
      <c r="D994" s="172" t="s">
        <v>803</v>
      </c>
      <c r="E994" s="166"/>
      <c r="F994" s="194"/>
      <c r="G994" s="192"/>
      <c r="H994" s="192"/>
      <c r="I994" s="192"/>
      <c r="J994" s="192"/>
      <c r="K994" s="192"/>
      <c r="L994" s="192"/>
      <c r="M994" s="246">
        <v>120</v>
      </c>
    </row>
    <row r="995" spans="1:13" x14ac:dyDescent="0.2">
      <c r="A995" s="247"/>
      <c r="B995" s="172"/>
      <c r="C995" s="171"/>
      <c r="D995" s="172"/>
      <c r="E995" s="166"/>
      <c r="F995" s="194"/>
      <c r="G995" s="192">
        <v>120</v>
      </c>
      <c r="H995" s="192"/>
      <c r="I995" s="192"/>
      <c r="J995" s="192"/>
      <c r="K995" s="192"/>
      <c r="L995" s="192"/>
      <c r="M995" s="294">
        <v>120</v>
      </c>
    </row>
    <row r="996" spans="1:13" ht="60" x14ac:dyDescent="0.2">
      <c r="A996" s="247" t="s">
        <v>887</v>
      </c>
      <c r="B996" s="172" t="s">
        <v>959</v>
      </c>
      <c r="C996" s="171" t="s">
        <v>889</v>
      </c>
      <c r="D996" s="172" t="s">
        <v>803</v>
      </c>
      <c r="E996" s="166"/>
      <c r="F996" s="194"/>
      <c r="G996" s="192"/>
      <c r="H996" s="192"/>
      <c r="I996" s="192"/>
      <c r="J996" s="192"/>
      <c r="K996" s="192"/>
      <c r="L996" s="192"/>
      <c r="M996" s="246">
        <v>240</v>
      </c>
    </row>
    <row r="997" spans="1:13" x14ac:dyDescent="0.2">
      <c r="A997" s="247"/>
      <c r="B997" s="172"/>
      <c r="C997" s="171"/>
      <c r="D997" s="172"/>
      <c r="E997" s="166"/>
      <c r="F997" s="194"/>
      <c r="G997" s="192">
        <v>240</v>
      </c>
      <c r="H997" s="192"/>
      <c r="I997" s="192"/>
      <c r="J997" s="192"/>
      <c r="K997" s="192"/>
      <c r="L997" s="192"/>
      <c r="M997" s="294">
        <v>240</v>
      </c>
    </row>
    <row r="998" spans="1:13" ht="60" x14ac:dyDescent="0.2">
      <c r="A998" s="247" t="s">
        <v>887</v>
      </c>
      <c r="B998" s="172" t="s">
        <v>960</v>
      </c>
      <c r="C998" s="171" t="s">
        <v>890</v>
      </c>
      <c r="D998" s="172" t="s">
        <v>803</v>
      </c>
      <c r="E998" s="166"/>
      <c r="F998" s="194"/>
      <c r="G998" s="192"/>
      <c r="H998" s="192"/>
      <c r="I998" s="192"/>
      <c r="J998" s="192"/>
      <c r="K998" s="192"/>
      <c r="L998" s="192"/>
      <c r="M998" s="246">
        <v>120</v>
      </c>
    </row>
    <row r="999" spans="1:13" x14ac:dyDescent="0.2">
      <c r="A999" s="247"/>
      <c r="B999" s="172"/>
      <c r="C999" s="196"/>
      <c r="D999" s="172"/>
      <c r="E999" s="166"/>
      <c r="F999" s="194"/>
      <c r="G999" s="192">
        <v>120</v>
      </c>
      <c r="H999" s="192"/>
      <c r="I999" s="192"/>
      <c r="J999" s="192"/>
      <c r="K999" s="192"/>
      <c r="L999" s="192"/>
      <c r="M999" s="294">
        <v>120</v>
      </c>
    </row>
    <row r="1000" spans="1:13" ht="60" x14ac:dyDescent="0.2">
      <c r="A1000" s="247" t="s">
        <v>891</v>
      </c>
      <c r="B1000" s="172" t="s">
        <v>961</v>
      </c>
      <c r="C1000" s="171" t="s">
        <v>892</v>
      </c>
      <c r="D1000" s="172" t="s">
        <v>803</v>
      </c>
      <c r="E1000" s="166"/>
      <c r="F1000" s="194"/>
      <c r="G1000" s="192"/>
      <c r="H1000" s="192"/>
      <c r="I1000" s="192"/>
      <c r="J1000" s="192"/>
      <c r="K1000" s="192"/>
      <c r="L1000" s="192"/>
      <c r="M1000" s="246">
        <v>186</v>
      </c>
    </row>
    <row r="1001" spans="1:13" x14ac:dyDescent="0.2">
      <c r="A1001" s="250"/>
      <c r="B1001" s="350"/>
      <c r="C1001" s="219"/>
      <c r="D1001" s="350"/>
      <c r="E1001" s="220"/>
      <c r="F1001" s="353"/>
      <c r="G1001" s="309">
        <v>186</v>
      </c>
      <c r="H1001" s="309"/>
      <c r="I1001" s="309"/>
      <c r="J1001" s="309"/>
      <c r="K1001" s="309"/>
      <c r="L1001" s="309"/>
      <c r="M1001" s="311">
        <v>186</v>
      </c>
    </row>
    <row r="1002" spans="1:13" ht="60" x14ac:dyDescent="0.2">
      <c r="A1002" s="247" t="s">
        <v>891</v>
      </c>
      <c r="B1002" s="172" t="s">
        <v>962</v>
      </c>
      <c r="C1002" s="171" t="s">
        <v>893</v>
      </c>
      <c r="D1002" s="172" t="s">
        <v>803</v>
      </c>
      <c r="E1002" s="166"/>
      <c r="F1002" s="194"/>
      <c r="G1002" s="192"/>
      <c r="H1002" s="192"/>
      <c r="I1002" s="192"/>
      <c r="J1002" s="192"/>
      <c r="K1002" s="192"/>
      <c r="L1002" s="192"/>
      <c r="M1002" s="246">
        <v>62</v>
      </c>
    </row>
    <row r="1003" spans="1:13" x14ac:dyDescent="0.2">
      <c r="A1003" s="247"/>
      <c r="B1003" s="172"/>
      <c r="C1003" s="171"/>
      <c r="D1003" s="172"/>
      <c r="E1003" s="166"/>
      <c r="F1003" s="194"/>
      <c r="G1003" s="192">
        <v>62</v>
      </c>
      <c r="H1003" s="192"/>
      <c r="I1003" s="192"/>
      <c r="J1003" s="192"/>
      <c r="K1003" s="192"/>
      <c r="L1003" s="192"/>
      <c r="M1003" s="294">
        <v>62</v>
      </c>
    </row>
    <row r="1004" spans="1:13" ht="60" x14ac:dyDescent="0.2">
      <c r="A1004" s="247" t="s">
        <v>891</v>
      </c>
      <c r="B1004" s="172" t="s">
        <v>963</v>
      </c>
      <c r="C1004" s="171" t="s">
        <v>894</v>
      </c>
      <c r="D1004" s="172" t="s">
        <v>803</v>
      </c>
      <c r="E1004" s="166"/>
      <c r="F1004" s="194"/>
      <c r="G1004" s="192"/>
      <c r="H1004" s="192"/>
      <c r="I1004" s="192"/>
      <c r="J1004" s="192"/>
      <c r="K1004" s="192"/>
      <c r="L1004" s="192"/>
      <c r="M1004" s="246">
        <v>150</v>
      </c>
    </row>
    <row r="1005" spans="1:13" x14ac:dyDescent="0.2">
      <c r="A1005" s="247"/>
      <c r="B1005" s="172"/>
      <c r="C1005" s="196"/>
      <c r="D1005" s="172"/>
      <c r="E1005" s="166"/>
      <c r="F1005" s="194"/>
      <c r="G1005" s="192">
        <v>150</v>
      </c>
      <c r="H1005" s="192"/>
      <c r="I1005" s="192"/>
      <c r="J1005" s="192"/>
      <c r="K1005" s="192"/>
      <c r="L1005" s="192"/>
      <c r="M1005" s="294">
        <v>150</v>
      </c>
    </row>
    <row r="1006" spans="1:13" ht="24" x14ac:dyDescent="0.2">
      <c r="A1006" s="247" t="s">
        <v>895</v>
      </c>
      <c r="B1006" s="172" t="s">
        <v>964</v>
      </c>
      <c r="C1006" s="171" t="s">
        <v>896</v>
      </c>
      <c r="D1006" s="172" t="s">
        <v>810</v>
      </c>
      <c r="E1006" s="166"/>
      <c r="F1006" s="194"/>
      <c r="G1006" s="192"/>
      <c r="H1006" s="192"/>
      <c r="I1006" s="192"/>
      <c r="J1006" s="192"/>
      <c r="K1006" s="192"/>
      <c r="L1006" s="192"/>
      <c r="M1006" s="246">
        <v>1</v>
      </c>
    </row>
    <row r="1007" spans="1:13" x14ac:dyDescent="0.2">
      <c r="A1007" s="247"/>
      <c r="B1007" s="172"/>
      <c r="C1007" s="196"/>
      <c r="D1007" s="172"/>
      <c r="E1007" s="166">
        <v>1</v>
      </c>
      <c r="F1007" s="194"/>
      <c r="G1007" s="192"/>
      <c r="H1007" s="192"/>
      <c r="I1007" s="192"/>
      <c r="J1007" s="192"/>
      <c r="K1007" s="192"/>
      <c r="L1007" s="192"/>
      <c r="M1007" s="294">
        <v>1</v>
      </c>
    </row>
    <row r="1008" spans="1:13" ht="48" x14ac:dyDescent="0.2">
      <c r="A1008" s="247" t="s">
        <v>897</v>
      </c>
      <c r="B1008" s="172" t="s">
        <v>965</v>
      </c>
      <c r="C1008" s="171" t="s">
        <v>898</v>
      </c>
      <c r="D1008" s="172" t="s">
        <v>803</v>
      </c>
      <c r="E1008" s="166"/>
      <c r="F1008" s="194"/>
      <c r="G1008" s="192"/>
      <c r="H1008" s="192"/>
      <c r="I1008" s="192"/>
      <c r="J1008" s="192"/>
      <c r="K1008" s="192"/>
      <c r="L1008" s="192"/>
      <c r="M1008" s="246">
        <v>20</v>
      </c>
    </row>
    <row r="1009" spans="1:13" x14ac:dyDescent="0.2">
      <c r="A1009" s="247"/>
      <c r="B1009" s="172"/>
      <c r="C1009" s="196"/>
      <c r="D1009" s="172"/>
      <c r="E1009" s="166"/>
      <c r="F1009" s="194"/>
      <c r="G1009" s="192">
        <v>20</v>
      </c>
      <c r="H1009" s="192"/>
      <c r="I1009" s="192"/>
      <c r="J1009" s="192"/>
      <c r="K1009" s="192"/>
      <c r="L1009" s="192"/>
      <c r="M1009" s="294">
        <v>20</v>
      </c>
    </row>
    <row r="1010" spans="1:13" ht="36" x14ac:dyDescent="0.2">
      <c r="A1010" s="247"/>
      <c r="B1010" s="172" t="s">
        <v>966</v>
      </c>
      <c r="C1010" s="171" t="s">
        <v>899</v>
      </c>
      <c r="D1010" s="172" t="s">
        <v>810</v>
      </c>
      <c r="E1010" s="166"/>
      <c r="F1010" s="194"/>
      <c r="G1010" s="192"/>
      <c r="H1010" s="192"/>
      <c r="I1010" s="192"/>
      <c r="J1010" s="192"/>
      <c r="K1010" s="192"/>
      <c r="L1010" s="192"/>
      <c r="M1010" s="246">
        <v>1</v>
      </c>
    </row>
    <row r="1011" spans="1:13" x14ac:dyDescent="0.2">
      <c r="A1011" s="247"/>
      <c r="B1011" s="172"/>
      <c r="C1011" s="196"/>
      <c r="D1011" s="172"/>
      <c r="E1011" s="166">
        <v>1</v>
      </c>
      <c r="F1011" s="194"/>
      <c r="G1011" s="192"/>
      <c r="H1011" s="192"/>
      <c r="I1011" s="192"/>
      <c r="J1011" s="192"/>
      <c r="K1011" s="192"/>
      <c r="L1011" s="192"/>
      <c r="M1011" s="294">
        <v>1</v>
      </c>
    </row>
    <row r="1012" spans="1:13" ht="48" x14ac:dyDescent="0.2">
      <c r="A1012" s="247" t="s">
        <v>900</v>
      </c>
      <c r="B1012" s="172" t="s">
        <v>967</v>
      </c>
      <c r="C1012" s="171" t="s">
        <v>901</v>
      </c>
      <c r="D1012" s="172" t="s">
        <v>803</v>
      </c>
      <c r="E1012" s="166"/>
      <c r="F1012" s="194"/>
      <c r="G1012" s="192"/>
      <c r="H1012" s="192"/>
      <c r="I1012" s="192"/>
      <c r="J1012" s="192"/>
      <c r="K1012" s="192"/>
      <c r="L1012" s="192"/>
      <c r="M1012" s="246">
        <v>12</v>
      </c>
    </row>
    <row r="1013" spans="1:13" x14ac:dyDescent="0.2">
      <c r="A1013" s="247"/>
      <c r="B1013" s="172"/>
      <c r="C1013" s="171"/>
      <c r="D1013" s="172"/>
      <c r="E1013" s="166"/>
      <c r="F1013" s="194"/>
      <c r="G1013" s="192">
        <v>12</v>
      </c>
      <c r="H1013" s="192"/>
      <c r="I1013" s="192"/>
      <c r="J1013" s="192"/>
      <c r="K1013" s="192"/>
      <c r="L1013" s="192"/>
      <c r="M1013" s="294">
        <v>12</v>
      </c>
    </row>
    <row r="1014" spans="1:13" ht="48" x14ac:dyDescent="0.2">
      <c r="A1014" s="247" t="s">
        <v>902</v>
      </c>
      <c r="B1014" s="172" t="s">
        <v>968</v>
      </c>
      <c r="C1014" s="171" t="s">
        <v>903</v>
      </c>
      <c r="D1014" s="172" t="s">
        <v>803</v>
      </c>
      <c r="E1014" s="166"/>
      <c r="F1014" s="194"/>
      <c r="G1014" s="192"/>
      <c r="H1014" s="192"/>
      <c r="I1014" s="192"/>
      <c r="J1014" s="192"/>
      <c r="K1014" s="192"/>
      <c r="L1014" s="192"/>
      <c r="M1014" s="246">
        <v>6</v>
      </c>
    </row>
    <row r="1015" spans="1:13" x14ac:dyDescent="0.2">
      <c r="A1015" s="247"/>
      <c r="B1015" s="172"/>
      <c r="C1015" s="171"/>
      <c r="D1015" s="172"/>
      <c r="E1015" s="166"/>
      <c r="F1015" s="194"/>
      <c r="G1015" s="192">
        <v>6</v>
      </c>
      <c r="H1015" s="192"/>
      <c r="I1015" s="192"/>
      <c r="J1015" s="192"/>
      <c r="K1015" s="192"/>
      <c r="L1015" s="192"/>
      <c r="M1015" s="294">
        <v>6</v>
      </c>
    </row>
    <row r="1016" spans="1:13" ht="60" x14ac:dyDescent="0.2">
      <c r="A1016" s="247" t="s">
        <v>904</v>
      </c>
      <c r="B1016" s="172" t="s">
        <v>969</v>
      </c>
      <c r="C1016" s="171" t="s">
        <v>905</v>
      </c>
      <c r="D1016" s="172" t="s">
        <v>810</v>
      </c>
      <c r="E1016" s="166"/>
      <c r="F1016" s="194"/>
      <c r="G1016" s="192"/>
      <c r="H1016" s="192"/>
      <c r="I1016" s="192"/>
      <c r="J1016" s="192"/>
      <c r="K1016" s="192"/>
      <c r="L1016" s="192"/>
      <c r="M1016" s="246">
        <v>6</v>
      </c>
    </row>
    <row r="1017" spans="1:13" x14ac:dyDescent="0.2">
      <c r="A1017" s="247"/>
      <c r="B1017" s="172"/>
      <c r="C1017" s="171"/>
      <c r="D1017" s="172"/>
      <c r="E1017" s="166">
        <v>6</v>
      </c>
      <c r="F1017" s="194"/>
      <c r="G1017" s="192"/>
      <c r="H1017" s="192"/>
      <c r="I1017" s="192"/>
      <c r="J1017" s="192"/>
      <c r="K1017" s="192"/>
      <c r="L1017" s="192"/>
      <c r="M1017" s="294">
        <v>6</v>
      </c>
    </row>
    <row r="1018" spans="1:13" ht="60" x14ac:dyDescent="0.2">
      <c r="A1018" s="247" t="s">
        <v>906</v>
      </c>
      <c r="B1018" s="172" t="s">
        <v>970</v>
      </c>
      <c r="C1018" s="171" t="s">
        <v>1004</v>
      </c>
      <c r="D1018" s="172" t="s">
        <v>803</v>
      </c>
      <c r="E1018" s="166"/>
      <c r="F1018" s="194"/>
      <c r="G1018" s="192"/>
      <c r="H1018" s="192"/>
      <c r="I1018" s="192"/>
      <c r="J1018" s="192"/>
      <c r="K1018" s="192"/>
      <c r="L1018" s="192"/>
      <c r="M1018" s="246">
        <v>36</v>
      </c>
    </row>
    <row r="1019" spans="1:13" x14ac:dyDescent="0.2">
      <c r="A1019" s="247"/>
      <c r="B1019" s="172"/>
      <c r="C1019" s="171"/>
      <c r="D1019" s="172"/>
      <c r="E1019" s="166"/>
      <c r="F1019" s="194"/>
      <c r="G1019" s="192">
        <v>36</v>
      </c>
      <c r="H1019" s="192"/>
      <c r="I1019" s="192"/>
      <c r="J1019" s="192"/>
      <c r="K1019" s="192"/>
      <c r="L1019" s="192"/>
      <c r="M1019" s="294">
        <v>36</v>
      </c>
    </row>
    <row r="1020" spans="1:13" ht="60" x14ac:dyDescent="0.2">
      <c r="A1020" s="247" t="s">
        <v>906</v>
      </c>
      <c r="B1020" s="172" t="s">
        <v>971</v>
      </c>
      <c r="C1020" s="171" t="s">
        <v>1004</v>
      </c>
      <c r="D1020" s="172" t="s">
        <v>803</v>
      </c>
      <c r="E1020" s="166"/>
      <c r="F1020" s="194"/>
      <c r="G1020" s="192"/>
      <c r="H1020" s="192"/>
      <c r="I1020" s="192"/>
      <c r="J1020" s="192"/>
      <c r="K1020" s="192"/>
      <c r="L1020" s="192"/>
      <c r="M1020" s="246">
        <v>12</v>
      </c>
    </row>
    <row r="1021" spans="1:13" x14ac:dyDescent="0.2">
      <c r="A1021" s="247"/>
      <c r="B1021" s="172"/>
      <c r="C1021" s="196"/>
      <c r="D1021" s="172"/>
      <c r="E1021" s="166"/>
      <c r="F1021" s="194"/>
      <c r="G1021" s="192">
        <v>12</v>
      </c>
      <c r="H1021" s="192"/>
      <c r="I1021" s="192"/>
      <c r="J1021" s="192"/>
      <c r="K1021" s="192"/>
      <c r="L1021" s="192"/>
      <c r="M1021" s="294">
        <v>12</v>
      </c>
    </row>
    <row r="1022" spans="1:13" x14ac:dyDescent="0.2">
      <c r="A1022" s="247"/>
      <c r="B1022" s="172" t="s">
        <v>377</v>
      </c>
      <c r="C1022" s="171" t="s">
        <v>1015</v>
      </c>
      <c r="D1022" s="172"/>
      <c r="E1022" s="166"/>
      <c r="F1022" s="194"/>
      <c r="G1022" s="192"/>
      <c r="H1022" s="192"/>
      <c r="I1022" s="192"/>
      <c r="J1022" s="192"/>
      <c r="K1022" s="192"/>
      <c r="L1022" s="192"/>
      <c r="M1022" s="246"/>
    </row>
    <row r="1023" spans="1:13" x14ac:dyDescent="0.2">
      <c r="A1023" s="247"/>
      <c r="B1023" s="172"/>
      <c r="C1023" s="196"/>
      <c r="D1023" s="172"/>
      <c r="E1023" s="166"/>
      <c r="F1023" s="194"/>
      <c r="G1023" s="192"/>
      <c r="H1023" s="192"/>
      <c r="I1023" s="192"/>
      <c r="J1023" s="192"/>
      <c r="K1023" s="192"/>
      <c r="L1023" s="192"/>
      <c r="M1023" s="294"/>
    </row>
    <row r="1024" spans="1:13" ht="36" x14ac:dyDescent="0.2">
      <c r="A1024" s="247">
        <v>98297</v>
      </c>
      <c r="B1024" s="172" t="s">
        <v>988</v>
      </c>
      <c r="C1024" s="171" t="s">
        <v>973</v>
      </c>
      <c r="D1024" s="172" t="s">
        <v>803</v>
      </c>
      <c r="E1024" s="166"/>
      <c r="F1024" s="178"/>
      <c r="G1024" s="179"/>
      <c r="H1024" s="180"/>
      <c r="I1024" s="180"/>
      <c r="J1024" s="180"/>
      <c r="K1024" s="180"/>
      <c r="L1024" s="179"/>
      <c r="M1024" s="246">
        <v>6100</v>
      </c>
    </row>
    <row r="1025" spans="1:13" x14ac:dyDescent="0.2">
      <c r="A1025" s="247"/>
      <c r="B1025" s="172"/>
      <c r="C1025" s="171"/>
      <c r="D1025" s="172"/>
      <c r="E1025" s="166"/>
      <c r="F1025" s="178"/>
      <c r="G1025" s="179">
        <v>6100</v>
      </c>
      <c r="H1025" s="180"/>
      <c r="I1025" s="180"/>
      <c r="J1025" s="180"/>
      <c r="K1025" s="180"/>
      <c r="L1025" s="179"/>
      <c r="M1025" s="291">
        <v>6100</v>
      </c>
    </row>
    <row r="1026" spans="1:13" ht="36" x14ac:dyDescent="0.2">
      <c r="A1026" s="247" t="s">
        <v>974</v>
      </c>
      <c r="B1026" s="172" t="s">
        <v>1016</v>
      </c>
      <c r="C1026" s="171" t="s">
        <v>975</v>
      </c>
      <c r="D1026" s="165" t="s">
        <v>810</v>
      </c>
      <c r="E1026" s="166"/>
      <c r="F1026" s="165"/>
      <c r="G1026" s="179"/>
      <c r="H1026" s="180"/>
      <c r="I1026" s="180"/>
      <c r="J1026" s="180"/>
      <c r="K1026" s="180"/>
      <c r="L1026" s="179"/>
      <c r="M1026" s="246">
        <v>88</v>
      </c>
    </row>
    <row r="1027" spans="1:13" x14ac:dyDescent="0.2">
      <c r="A1027" s="247"/>
      <c r="B1027" s="172"/>
      <c r="C1027" s="171"/>
      <c r="D1027" s="165"/>
      <c r="E1027" s="166">
        <v>88</v>
      </c>
      <c r="F1027" s="165"/>
      <c r="G1027" s="179"/>
      <c r="H1027" s="180"/>
      <c r="I1027" s="180"/>
      <c r="J1027" s="180"/>
      <c r="K1027" s="180"/>
      <c r="L1027" s="179"/>
      <c r="M1027" s="291">
        <v>88</v>
      </c>
    </row>
    <row r="1028" spans="1:13" ht="24" x14ac:dyDescent="0.2">
      <c r="A1028" s="247" t="s">
        <v>976</v>
      </c>
      <c r="B1028" s="172" t="s">
        <v>1017</v>
      </c>
      <c r="C1028" s="171" t="s">
        <v>977</v>
      </c>
      <c r="D1028" s="165" t="s">
        <v>810</v>
      </c>
      <c r="E1028" s="167"/>
      <c r="F1028" s="168"/>
      <c r="G1028" s="179"/>
      <c r="H1028" s="180"/>
      <c r="I1028" s="180"/>
      <c r="J1028" s="180"/>
      <c r="K1028" s="180"/>
      <c r="L1028" s="179"/>
      <c r="M1028" s="246">
        <v>88</v>
      </c>
    </row>
    <row r="1029" spans="1:13" x14ac:dyDescent="0.2">
      <c r="A1029" s="247"/>
      <c r="B1029" s="172"/>
      <c r="C1029" s="171"/>
      <c r="D1029" s="165"/>
      <c r="E1029" s="167">
        <v>88</v>
      </c>
      <c r="F1029" s="168"/>
      <c r="G1029" s="179"/>
      <c r="H1029" s="180"/>
      <c r="I1029" s="180"/>
      <c r="J1029" s="180"/>
      <c r="K1029" s="180"/>
      <c r="L1029" s="179"/>
      <c r="M1029" s="291">
        <v>88</v>
      </c>
    </row>
    <row r="1030" spans="1:13" ht="36" x14ac:dyDescent="0.2">
      <c r="A1030" s="247" t="s">
        <v>978</v>
      </c>
      <c r="B1030" s="172" t="s">
        <v>1018</v>
      </c>
      <c r="C1030" s="171" t="s">
        <v>979</v>
      </c>
      <c r="D1030" s="172" t="s">
        <v>803</v>
      </c>
      <c r="E1030" s="166"/>
      <c r="F1030" s="165"/>
      <c r="G1030" s="179"/>
      <c r="H1030" s="180"/>
      <c r="I1030" s="180"/>
      <c r="J1030" s="180"/>
      <c r="K1030" s="180"/>
      <c r="L1030" s="179"/>
      <c r="M1030" s="246">
        <v>300</v>
      </c>
    </row>
    <row r="1031" spans="1:13" x14ac:dyDescent="0.2">
      <c r="A1031" s="247"/>
      <c r="B1031" s="172"/>
      <c r="C1031" s="171"/>
      <c r="D1031" s="172"/>
      <c r="E1031" s="166"/>
      <c r="F1031" s="165"/>
      <c r="G1031" s="179">
        <v>300</v>
      </c>
      <c r="H1031" s="180"/>
      <c r="I1031" s="180"/>
      <c r="J1031" s="180"/>
      <c r="K1031" s="180"/>
      <c r="L1031" s="179"/>
      <c r="M1031" s="291">
        <v>300</v>
      </c>
    </row>
    <row r="1032" spans="1:13" ht="60" x14ac:dyDescent="0.2">
      <c r="A1032" s="247" t="s">
        <v>980</v>
      </c>
      <c r="B1032" s="172" t="s">
        <v>1019</v>
      </c>
      <c r="C1032" s="171" t="s">
        <v>981</v>
      </c>
      <c r="D1032" s="172" t="s">
        <v>803</v>
      </c>
      <c r="E1032" s="166"/>
      <c r="F1032" s="165"/>
      <c r="G1032" s="179"/>
      <c r="H1032" s="180"/>
      <c r="I1032" s="180"/>
      <c r="J1032" s="180"/>
      <c r="K1032" s="180"/>
      <c r="L1032" s="179"/>
      <c r="M1032" s="246">
        <v>160</v>
      </c>
    </row>
    <row r="1033" spans="1:13" x14ac:dyDescent="0.2">
      <c r="A1033" s="247"/>
      <c r="B1033" s="172"/>
      <c r="C1033" s="171"/>
      <c r="D1033" s="172"/>
      <c r="E1033" s="166"/>
      <c r="F1033" s="165"/>
      <c r="G1033" s="179">
        <v>160</v>
      </c>
      <c r="H1033" s="180"/>
      <c r="I1033" s="180"/>
      <c r="J1033" s="180"/>
      <c r="K1033" s="180"/>
      <c r="L1033" s="179"/>
      <c r="M1033" s="291">
        <v>160</v>
      </c>
    </row>
    <row r="1034" spans="1:13" ht="60" x14ac:dyDescent="0.2">
      <c r="A1034" s="247" t="s">
        <v>982</v>
      </c>
      <c r="B1034" s="172" t="s">
        <v>1020</v>
      </c>
      <c r="C1034" s="171" t="s">
        <v>983</v>
      </c>
      <c r="D1034" s="172" t="s">
        <v>803</v>
      </c>
      <c r="E1034" s="166"/>
      <c r="F1034" s="165"/>
      <c r="G1034" s="179"/>
      <c r="H1034" s="180"/>
      <c r="I1034" s="180"/>
      <c r="J1034" s="180"/>
      <c r="K1034" s="180"/>
      <c r="L1034" s="179"/>
      <c r="M1034" s="246">
        <v>90</v>
      </c>
    </row>
    <row r="1035" spans="1:13" x14ac:dyDescent="0.2">
      <c r="A1035" s="247"/>
      <c r="B1035" s="172"/>
      <c r="C1035" s="171"/>
      <c r="D1035" s="172"/>
      <c r="E1035" s="166"/>
      <c r="F1035" s="165"/>
      <c r="G1035" s="179">
        <v>90</v>
      </c>
      <c r="H1035" s="180"/>
      <c r="I1035" s="180"/>
      <c r="J1035" s="180"/>
      <c r="K1035" s="180"/>
      <c r="L1035" s="179"/>
      <c r="M1035" s="291">
        <v>90</v>
      </c>
    </row>
    <row r="1036" spans="1:13" ht="36" x14ac:dyDescent="0.2">
      <c r="A1036" s="247" t="s">
        <v>984</v>
      </c>
      <c r="B1036" s="172" t="s">
        <v>1021</v>
      </c>
      <c r="C1036" s="171" t="s">
        <v>985</v>
      </c>
      <c r="D1036" s="165" t="s">
        <v>810</v>
      </c>
      <c r="E1036" s="166"/>
      <c r="F1036" s="178"/>
      <c r="G1036" s="179"/>
      <c r="H1036" s="180"/>
      <c r="I1036" s="180"/>
      <c r="J1036" s="180"/>
      <c r="K1036" s="180"/>
      <c r="L1036" s="179"/>
      <c r="M1036" s="246">
        <v>20</v>
      </c>
    </row>
    <row r="1037" spans="1:13" x14ac:dyDescent="0.2">
      <c r="A1037" s="247"/>
      <c r="B1037" s="172"/>
      <c r="C1037" s="171"/>
      <c r="D1037" s="165"/>
      <c r="E1037" s="166">
        <v>20</v>
      </c>
      <c r="F1037" s="178"/>
      <c r="G1037" s="179"/>
      <c r="H1037" s="180"/>
      <c r="I1037" s="180"/>
      <c r="J1037" s="180"/>
      <c r="K1037" s="180"/>
      <c r="L1037" s="179"/>
      <c r="M1037" s="291">
        <v>20</v>
      </c>
    </row>
    <row r="1038" spans="1:13" ht="24" x14ac:dyDescent="0.2">
      <c r="A1038" s="247" t="s">
        <v>986</v>
      </c>
      <c r="B1038" s="172" t="s">
        <v>1022</v>
      </c>
      <c r="C1038" s="171" t="s">
        <v>987</v>
      </c>
      <c r="D1038" s="165" t="s">
        <v>810</v>
      </c>
      <c r="E1038" s="166"/>
      <c r="F1038" s="178"/>
      <c r="G1038" s="179"/>
      <c r="H1038" s="180"/>
      <c r="I1038" s="180"/>
      <c r="J1038" s="180"/>
      <c r="K1038" s="180"/>
      <c r="L1038" s="179"/>
      <c r="M1038" s="246">
        <v>88</v>
      </c>
    </row>
    <row r="1039" spans="1:13" x14ac:dyDescent="0.2">
      <c r="A1039" s="250"/>
      <c r="B1039" s="350"/>
      <c r="C1039" s="219"/>
      <c r="D1039" s="350"/>
      <c r="E1039" s="220">
        <v>88</v>
      </c>
      <c r="F1039" s="352"/>
      <c r="G1039" s="312"/>
      <c r="H1039" s="313"/>
      <c r="I1039" s="313"/>
      <c r="J1039" s="313"/>
      <c r="K1039" s="313"/>
      <c r="L1039" s="312"/>
      <c r="M1039" s="314">
        <v>88</v>
      </c>
    </row>
    <row r="1040" spans="1:13" x14ac:dyDescent="0.2">
      <c r="A1040" s="231"/>
      <c r="B1040" s="9"/>
      <c r="C1040" s="7"/>
      <c r="D1040" s="17"/>
      <c r="E1040" s="218"/>
      <c r="F1040" s="218"/>
      <c r="G1040" s="218"/>
      <c r="H1040" s="218"/>
      <c r="I1040" s="218"/>
      <c r="J1040" s="218"/>
      <c r="K1040" s="218"/>
      <c r="L1040" s="218"/>
      <c r="M1040" s="273"/>
    </row>
    <row r="1041" spans="1:13" x14ac:dyDescent="0.2">
      <c r="A1041" s="231"/>
      <c r="B1041" s="9"/>
      <c r="C1041" s="11"/>
      <c r="D1041" s="10"/>
      <c r="E1041" s="218"/>
      <c r="F1041" s="218"/>
      <c r="G1041" s="218"/>
      <c r="H1041" s="218"/>
      <c r="I1041" s="218"/>
      <c r="J1041" s="218"/>
      <c r="K1041" s="218"/>
      <c r="L1041" s="218"/>
      <c r="M1041" s="273"/>
    </row>
    <row r="1042" spans="1:13" x14ac:dyDescent="0.2">
      <c r="A1042" s="274"/>
      <c r="B1042" s="29" t="s">
        <v>126</v>
      </c>
      <c r="C1042" s="30" t="s">
        <v>123</v>
      </c>
      <c r="D1042" s="31"/>
      <c r="E1042" s="31"/>
      <c r="F1042" s="31"/>
      <c r="G1042" s="31"/>
      <c r="H1042" s="31"/>
      <c r="I1042" s="31"/>
      <c r="J1042" s="31"/>
      <c r="K1042" s="31"/>
      <c r="L1042" s="31"/>
      <c r="M1042" s="275"/>
    </row>
    <row r="1043" spans="1:13" ht="72" x14ac:dyDescent="0.2">
      <c r="A1043" s="235" t="s">
        <v>452</v>
      </c>
      <c r="B1043" s="9" t="s">
        <v>313</v>
      </c>
      <c r="C1043" s="7" t="s">
        <v>672</v>
      </c>
      <c r="D1043" s="17" t="s">
        <v>17</v>
      </c>
      <c r="E1043" s="218"/>
      <c r="F1043" s="218"/>
      <c r="G1043" s="218"/>
      <c r="H1043" s="218"/>
      <c r="I1043" s="218"/>
      <c r="J1043" s="218"/>
      <c r="K1043" s="218"/>
      <c r="L1043" s="218"/>
      <c r="M1043" s="272">
        <f>SUM(M1044:M1045)</f>
        <v>1643.1179</v>
      </c>
    </row>
    <row r="1044" spans="1:13" x14ac:dyDescent="0.2">
      <c r="A1044" s="235"/>
      <c r="B1044" s="9"/>
      <c r="C1044" s="7" t="s">
        <v>671</v>
      </c>
      <c r="D1044" s="17"/>
      <c r="E1044" s="218"/>
      <c r="F1044" s="218"/>
      <c r="G1044" s="218"/>
      <c r="H1044" s="218"/>
      <c r="I1044" s="218"/>
      <c r="J1044" s="43"/>
      <c r="K1044" s="218"/>
      <c r="L1044" s="218"/>
      <c r="M1044" s="282">
        <f>SUM(K1214,J1275:J1276)</f>
        <v>1832.4244000000001</v>
      </c>
    </row>
    <row r="1045" spans="1:13" ht="24" x14ac:dyDescent="0.2">
      <c r="A1045" s="235"/>
      <c r="B1045" s="9"/>
      <c r="C1045" s="7" t="s">
        <v>673</v>
      </c>
      <c r="D1045" s="17"/>
      <c r="E1045" s="37"/>
      <c r="F1045" s="218"/>
      <c r="G1045" s="218"/>
      <c r="H1045" s="218"/>
      <c r="I1045" s="218"/>
      <c r="J1045" s="218"/>
      <c r="K1045" s="218"/>
      <c r="L1045" s="218"/>
      <c r="M1045" s="282">
        <f>-M431</f>
        <v>-189.30650000000009</v>
      </c>
    </row>
    <row r="1046" spans="1:13" x14ac:dyDescent="0.2">
      <c r="A1046" s="235"/>
      <c r="B1046" s="9"/>
      <c r="C1046" s="7"/>
      <c r="D1046" s="17"/>
      <c r="E1046" s="37"/>
      <c r="F1046" s="218"/>
      <c r="G1046" s="218"/>
      <c r="H1046" s="218"/>
      <c r="I1046" s="218"/>
      <c r="J1046" s="218"/>
      <c r="K1046" s="218"/>
      <c r="L1046" s="218"/>
      <c r="M1046" s="273"/>
    </row>
    <row r="1047" spans="1:13" x14ac:dyDescent="0.2">
      <c r="A1047" s="235"/>
      <c r="B1047" s="9"/>
      <c r="C1047" s="7"/>
      <c r="D1047" s="17"/>
      <c r="E1047" s="37"/>
      <c r="F1047" s="218"/>
      <c r="G1047" s="218"/>
      <c r="H1047" s="218"/>
      <c r="I1047" s="218"/>
      <c r="J1047" s="218"/>
      <c r="K1047" s="218"/>
      <c r="L1047" s="218"/>
      <c r="M1047" s="273"/>
    </row>
    <row r="1048" spans="1:13" x14ac:dyDescent="0.2">
      <c r="A1048" s="235"/>
      <c r="B1048" s="9"/>
      <c r="C1048" s="7"/>
      <c r="D1048" s="17"/>
      <c r="E1048" s="37"/>
      <c r="F1048" s="218"/>
      <c r="G1048" s="218"/>
      <c r="H1048" s="218"/>
      <c r="I1048" s="218"/>
      <c r="J1048" s="218"/>
      <c r="K1048" s="218"/>
      <c r="L1048" s="218"/>
      <c r="M1048" s="273"/>
    </row>
    <row r="1049" spans="1:13" x14ac:dyDescent="0.2">
      <c r="A1049" s="235"/>
      <c r="B1049" s="9"/>
      <c r="C1049" s="7" t="s">
        <v>453</v>
      </c>
      <c r="D1049" s="408" t="s">
        <v>494</v>
      </c>
      <c r="E1049" s="409"/>
      <c r="F1049" s="218"/>
      <c r="G1049" s="218"/>
      <c r="H1049" s="218"/>
      <c r="I1049" s="218"/>
      <c r="J1049" s="218"/>
      <c r="K1049" s="218"/>
      <c r="L1049" s="218"/>
      <c r="M1049" s="282">
        <f>SUM(M1051:M1064)</f>
        <v>220.10199999999998</v>
      </c>
    </row>
    <row r="1050" spans="1:13" x14ac:dyDescent="0.2">
      <c r="A1050" s="235"/>
      <c r="B1050" s="9"/>
      <c r="C1050" s="7" t="s">
        <v>454</v>
      </c>
      <c r="D1050" s="17"/>
      <c r="E1050" s="218"/>
      <c r="F1050" s="218"/>
      <c r="G1050" s="218">
        <v>14.6</v>
      </c>
      <c r="H1050" s="218"/>
      <c r="I1050" s="218">
        <v>2.2999999999999998</v>
      </c>
      <c r="J1050" s="218">
        <f>G1050*I1050</f>
        <v>33.58</v>
      </c>
      <c r="K1050" s="218"/>
      <c r="L1050" s="218"/>
      <c r="M1050" s="273"/>
    </row>
    <row r="1051" spans="1:13" x14ac:dyDescent="0.2">
      <c r="A1051" s="235"/>
      <c r="B1051" s="9"/>
      <c r="C1051" s="7" t="s">
        <v>455</v>
      </c>
      <c r="D1051" s="17"/>
      <c r="E1051" s="218"/>
      <c r="F1051" s="218"/>
      <c r="G1051" s="218"/>
      <c r="H1051" s="218"/>
      <c r="I1051" s="218"/>
      <c r="J1051" s="218">
        <v>-4.5599999999999996</v>
      </c>
      <c r="K1051" s="218"/>
      <c r="L1051" s="218"/>
      <c r="M1051" s="273">
        <f>J1050+J1051</f>
        <v>29.02</v>
      </c>
    </row>
    <row r="1052" spans="1:13" x14ac:dyDescent="0.2">
      <c r="A1052" s="235"/>
      <c r="B1052" s="9"/>
      <c r="C1052" s="7"/>
      <c r="D1052" s="17"/>
      <c r="E1052" s="218"/>
      <c r="F1052" s="218"/>
      <c r="G1052" s="218"/>
      <c r="H1052" s="218"/>
      <c r="I1052" s="218"/>
      <c r="J1052" s="139"/>
      <c r="K1052" s="218"/>
      <c r="L1052" s="218"/>
      <c r="M1052" s="273"/>
    </row>
    <row r="1053" spans="1:13" x14ac:dyDescent="0.2">
      <c r="A1053" s="235"/>
      <c r="B1053" s="9"/>
      <c r="C1053" s="7" t="s">
        <v>456</v>
      </c>
      <c r="D1053" s="17"/>
      <c r="E1053" s="218"/>
      <c r="F1053" s="218"/>
      <c r="G1053" s="218"/>
      <c r="H1053" s="218"/>
      <c r="I1053" s="218"/>
      <c r="J1053" s="218"/>
      <c r="K1053" s="218"/>
      <c r="L1053" s="218"/>
      <c r="M1053" s="273"/>
    </row>
    <row r="1054" spans="1:13" x14ac:dyDescent="0.2">
      <c r="A1054" s="235"/>
      <c r="B1054" s="9"/>
      <c r="C1054" s="7" t="s">
        <v>457</v>
      </c>
      <c r="D1054" s="17"/>
      <c r="E1054" s="218"/>
      <c r="F1054" s="218"/>
      <c r="G1054" s="218"/>
      <c r="H1054" s="218"/>
      <c r="I1054" s="218"/>
      <c r="J1054" s="218"/>
      <c r="K1054" s="218"/>
      <c r="L1054" s="218"/>
      <c r="M1054" s="273"/>
    </row>
    <row r="1055" spans="1:13" x14ac:dyDescent="0.2">
      <c r="A1055" s="235"/>
      <c r="B1055" s="9"/>
      <c r="C1055" s="7">
        <v>14.3</v>
      </c>
      <c r="D1055" s="17"/>
      <c r="E1055" s="218"/>
      <c r="F1055" s="218"/>
      <c r="G1055" s="218"/>
      <c r="H1055" s="218"/>
      <c r="I1055" s="218"/>
      <c r="J1055" s="218"/>
      <c r="K1055" s="218"/>
      <c r="L1055" s="218"/>
      <c r="M1055" s="273"/>
    </row>
    <row r="1056" spans="1:13" x14ac:dyDescent="0.2">
      <c r="A1056" s="235"/>
      <c r="B1056" s="9"/>
      <c r="C1056" s="7" t="s">
        <v>458</v>
      </c>
      <c r="D1056" s="17"/>
      <c r="E1056" s="218"/>
      <c r="F1056" s="218"/>
      <c r="G1056" s="218">
        <v>61.14</v>
      </c>
      <c r="H1056" s="218"/>
      <c r="I1056" s="218">
        <v>2.2999999999999998</v>
      </c>
      <c r="J1056" s="218">
        <f>G1056*I1056</f>
        <v>140.62199999999999</v>
      </c>
      <c r="K1056" s="218"/>
      <c r="L1056" s="218"/>
      <c r="M1056" s="273"/>
    </row>
    <row r="1057" spans="1:13" x14ac:dyDescent="0.2">
      <c r="A1057" s="235"/>
      <c r="B1057" s="9"/>
      <c r="C1057" s="7" t="s">
        <v>459</v>
      </c>
      <c r="D1057" s="17"/>
      <c r="E1057" s="218"/>
      <c r="F1057" s="218"/>
      <c r="G1057" s="218">
        <v>12</v>
      </c>
      <c r="H1057" s="218"/>
      <c r="I1057" s="218">
        <v>2.2999999999999998</v>
      </c>
      <c r="J1057" s="218">
        <f>G1057*I1057</f>
        <v>27.599999999999998</v>
      </c>
      <c r="K1057" s="218"/>
      <c r="L1057" s="218"/>
      <c r="M1057" s="273"/>
    </row>
    <row r="1058" spans="1:13" x14ac:dyDescent="0.2">
      <c r="A1058" s="235"/>
      <c r="B1058" s="9"/>
      <c r="C1058" s="7" t="s">
        <v>460</v>
      </c>
      <c r="D1058" s="17"/>
      <c r="E1058" s="218"/>
      <c r="F1058" s="218"/>
      <c r="G1058" s="218"/>
      <c r="H1058" s="218"/>
      <c r="I1058" s="218"/>
      <c r="J1058" s="218">
        <v>-5.4</v>
      </c>
      <c r="K1058" s="218"/>
      <c r="L1058" s="218"/>
      <c r="M1058" s="273"/>
    </row>
    <row r="1059" spans="1:13" x14ac:dyDescent="0.2">
      <c r="A1059" s="235"/>
      <c r="B1059" s="9"/>
      <c r="C1059" s="7" t="s">
        <v>461</v>
      </c>
      <c r="D1059" s="17"/>
      <c r="E1059" s="218"/>
      <c r="F1059" s="218"/>
      <c r="G1059" s="218"/>
      <c r="H1059" s="218"/>
      <c r="I1059" s="218"/>
      <c r="J1059" s="218">
        <v>-1.68</v>
      </c>
      <c r="K1059" s="218"/>
      <c r="L1059" s="218"/>
      <c r="M1059" s="273">
        <f>J1056+J1057+J1058+J1059</f>
        <v>161.14199999999997</v>
      </c>
    </row>
    <row r="1060" spans="1:13" x14ac:dyDescent="0.2">
      <c r="A1060" s="235"/>
      <c r="B1060" s="9"/>
      <c r="C1060" s="7" t="s">
        <v>462</v>
      </c>
      <c r="D1060" s="17"/>
      <c r="E1060" s="218"/>
      <c r="F1060" s="218"/>
      <c r="G1060" s="218"/>
      <c r="H1060" s="218"/>
      <c r="I1060" s="218"/>
      <c r="J1060" s="218"/>
      <c r="K1060" s="218"/>
      <c r="L1060" s="218"/>
      <c r="M1060" s="273"/>
    </row>
    <row r="1061" spans="1:13" x14ac:dyDescent="0.2">
      <c r="A1061" s="235"/>
      <c r="B1061" s="9"/>
      <c r="C1061" s="7"/>
      <c r="D1061" s="17"/>
      <c r="E1061" s="218"/>
      <c r="F1061" s="218"/>
      <c r="G1061" s="218"/>
      <c r="H1061" s="218"/>
      <c r="I1061" s="218"/>
      <c r="J1061" s="218"/>
      <c r="K1061" s="218"/>
      <c r="L1061" s="218"/>
      <c r="M1061" s="273"/>
    </row>
    <row r="1062" spans="1:13" x14ac:dyDescent="0.2">
      <c r="A1062" s="235"/>
      <c r="B1062" s="9"/>
      <c r="C1062" s="7" t="s">
        <v>463</v>
      </c>
      <c r="D1062" s="17"/>
      <c r="E1062" s="218"/>
      <c r="F1062" s="218"/>
      <c r="G1062" s="218"/>
      <c r="H1062" s="218"/>
      <c r="I1062" s="218"/>
      <c r="J1062" s="218"/>
      <c r="K1062" s="218"/>
      <c r="L1062" s="218"/>
      <c r="M1062" s="273"/>
    </row>
    <row r="1063" spans="1:13" x14ac:dyDescent="0.2">
      <c r="A1063" s="235"/>
      <c r="B1063" s="9"/>
      <c r="C1063" s="7" t="s">
        <v>464</v>
      </c>
      <c r="D1063" s="17"/>
      <c r="E1063" s="218"/>
      <c r="F1063" s="218"/>
      <c r="G1063" s="218">
        <v>13.8</v>
      </c>
      <c r="H1063" s="218"/>
      <c r="I1063" s="218">
        <v>2.5</v>
      </c>
      <c r="J1063" s="218">
        <f>G1063*I1063</f>
        <v>34.5</v>
      </c>
      <c r="K1063" s="218"/>
      <c r="L1063" s="218"/>
      <c r="M1063" s="273"/>
    </row>
    <row r="1064" spans="1:13" x14ac:dyDescent="0.2">
      <c r="A1064" s="235"/>
      <c r="B1064" s="9"/>
      <c r="C1064" s="7" t="s">
        <v>465</v>
      </c>
      <c r="D1064" s="17"/>
      <c r="E1064" s="218"/>
      <c r="F1064" s="218"/>
      <c r="G1064" s="218"/>
      <c r="H1064" s="218"/>
      <c r="I1064" s="218"/>
      <c r="J1064" s="218">
        <v>-4.5599999999999996</v>
      </c>
      <c r="K1064" s="218"/>
      <c r="L1064" s="218"/>
      <c r="M1064" s="273">
        <f>J1063+J1064</f>
        <v>29.94</v>
      </c>
    </row>
    <row r="1065" spans="1:13" x14ac:dyDescent="0.2">
      <c r="A1065" s="235"/>
      <c r="B1065" s="9"/>
      <c r="C1065" s="7"/>
      <c r="D1065" s="17"/>
      <c r="E1065" s="218"/>
      <c r="F1065" s="218"/>
      <c r="G1065" s="218"/>
      <c r="H1065" s="218"/>
      <c r="I1065" s="218"/>
      <c r="J1065" s="218"/>
      <c r="K1065" s="218"/>
      <c r="L1065" s="218"/>
      <c r="M1065" s="273"/>
    </row>
    <row r="1066" spans="1:13" ht="15" customHeight="1" x14ac:dyDescent="0.2">
      <c r="A1066" s="235"/>
      <c r="B1066" s="9"/>
      <c r="C1066" s="7" t="s">
        <v>466</v>
      </c>
      <c r="D1066" s="17"/>
      <c r="E1066" s="218"/>
      <c r="F1066" s="218"/>
      <c r="G1066" s="216"/>
      <c r="H1066" s="416" t="s">
        <v>453</v>
      </c>
      <c r="I1066" s="416"/>
      <c r="J1066" s="215" t="s">
        <v>533</v>
      </c>
      <c r="K1066" s="417">
        <v>175.03</v>
      </c>
      <c r="L1066" s="418"/>
      <c r="M1066" s="295"/>
    </row>
    <row r="1067" spans="1:13" ht="15.75" customHeight="1" thickBot="1" x14ac:dyDescent="0.25">
      <c r="A1067" s="235"/>
      <c r="B1067" s="9"/>
      <c r="C1067" s="7" t="s">
        <v>496</v>
      </c>
      <c r="D1067" s="17"/>
      <c r="E1067" s="218"/>
      <c r="F1067" s="218"/>
      <c r="G1067" s="216"/>
      <c r="H1067" s="416"/>
      <c r="I1067" s="416"/>
      <c r="J1067" s="215" t="s">
        <v>534</v>
      </c>
      <c r="K1067" s="419">
        <v>220.1</v>
      </c>
      <c r="L1067" s="420"/>
      <c r="M1067" s="273"/>
    </row>
    <row r="1068" spans="1:13" ht="15" thickBot="1" x14ac:dyDescent="0.25">
      <c r="A1068" s="235"/>
      <c r="B1068" s="9"/>
      <c r="C1068" s="33" t="s">
        <v>467</v>
      </c>
      <c r="D1068" s="17"/>
      <c r="E1068" s="218"/>
      <c r="F1068" s="218"/>
      <c r="G1068" s="218"/>
      <c r="H1068" s="218"/>
      <c r="I1068" s="218"/>
      <c r="J1068" s="296"/>
      <c r="K1068" s="410">
        <f>M1049+K1066</f>
        <v>395.13199999999995</v>
      </c>
      <c r="L1068" s="411"/>
      <c r="M1068" s="297"/>
    </row>
    <row r="1069" spans="1:13" x14ac:dyDescent="0.2">
      <c r="A1069" s="235"/>
      <c r="B1069" s="9"/>
      <c r="C1069" s="7"/>
      <c r="D1069" s="17"/>
      <c r="E1069" s="218"/>
      <c r="F1069" s="218"/>
      <c r="G1069" s="218"/>
      <c r="H1069" s="218"/>
      <c r="I1069" s="218"/>
      <c r="J1069" s="218"/>
      <c r="K1069" s="218"/>
      <c r="L1069" s="218"/>
      <c r="M1069" s="273"/>
    </row>
    <row r="1070" spans="1:13" x14ac:dyDescent="0.2">
      <c r="A1070" s="235"/>
      <c r="B1070" s="9"/>
      <c r="C1070" s="7" t="s">
        <v>493</v>
      </c>
      <c r="D1070" s="408" t="s">
        <v>494</v>
      </c>
      <c r="E1070" s="409"/>
      <c r="F1070" s="218"/>
      <c r="G1070" s="218"/>
      <c r="H1070" s="218"/>
      <c r="I1070" s="218"/>
      <c r="J1070" s="218"/>
      <c r="K1070" s="218"/>
      <c r="L1070" s="218"/>
      <c r="M1070" s="282">
        <f>SUM(M1072:M1097)</f>
        <v>330.71799999999996</v>
      </c>
    </row>
    <row r="1071" spans="1:13" x14ac:dyDescent="0.2">
      <c r="A1071" s="235"/>
      <c r="B1071" s="9"/>
      <c r="C1071" s="7" t="s">
        <v>468</v>
      </c>
      <c r="D1071" s="17"/>
      <c r="E1071" s="218"/>
      <c r="F1071" s="218"/>
      <c r="G1071" s="218"/>
      <c r="H1071" s="218"/>
      <c r="I1071" s="218"/>
      <c r="J1071" s="218"/>
      <c r="K1071" s="218"/>
      <c r="L1071" s="218"/>
      <c r="M1071" s="273"/>
    </row>
    <row r="1072" spans="1:13" x14ac:dyDescent="0.2">
      <c r="A1072" s="235"/>
      <c r="B1072" s="9"/>
      <c r="C1072" s="7" t="s">
        <v>469</v>
      </c>
      <c r="D1072" s="17"/>
      <c r="E1072" s="218"/>
      <c r="F1072" s="218"/>
      <c r="G1072" s="218">
        <v>11.52</v>
      </c>
      <c r="H1072" s="218"/>
      <c r="I1072" s="218">
        <v>2.4</v>
      </c>
      <c r="J1072" s="218">
        <f>G1072*I1072</f>
        <v>27.648</v>
      </c>
      <c r="K1072" s="218"/>
      <c r="L1072" s="218"/>
      <c r="M1072" s="273"/>
    </row>
    <row r="1073" spans="1:13" x14ac:dyDescent="0.2">
      <c r="A1073" s="235"/>
      <c r="B1073" s="9"/>
      <c r="C1073" s="7" t="s">
        <v>470</v>
      </c>
      <c r="D1073" s="17"/>
      <c r="E1073" s="218"/>
      <c r="F1073" s="218"/>
      <c r="G1073" s="218"/>
      <c r="H1073" s="218"/>
      <c r="I1073" s="218"/>
      <c r="J1073" s="218">
        <v>-8.4</v>
      </c>
      <c r="K1073" s="218"/>
      <c r="L1073" s="218"/>
      <c r="M1073" s="273">
        <f>J1072+J1073</f>
        <v>19.247999999999998</v>
      </c>
    </row>
    <row r="1074" spans="1:13" x14ac:dyDescent="0.2">
      <c r="A1074" s="235"/>
      <c r="B1074" s="9"/>
      <c r="C1074" s="7"/>
      <c r="D1074" s="17"/>
      <c r="E1074" s="218"/>
      <c r="F1074" s="218"/>
      <c r="G1074" s="218"/>
      <c r="H1074" s="218"/>
      <c r="I1074" s="218"/>
      <c r="J1074" s="218"/>
      <c r="K1074" s="218"/>
      <c r="L1074" s="218"/>
      <c r="M1074" s="273"/>
    </row>
    <row r="1075" spans="1:13" x14ac:dyDescent="0.2">
      <c r="A1075" s="235"/>
      <c r="B1075" s="9"/>
      <c r="C1075" s="7" t="s">
        <v>471</v>
      </c>
      <c r="D1075" s="17"/>
      <c r="E1075" s="218"/>
      <c r="F1075" s="218"/>
      <c r="G1075" s="218"/>
      <c r="H1075" s="218"/>
      <c r="I1075" s="218"/>
      <c r="J1075" s="218"/>
      <c r="K1075" s="218"/>
      <c r="L1075" s="218"/>
      <c r="M1075" s="273"/>
    </row>
    <row r="1076" spans="1:13" x14ac:dyDescent="0.2">
      <c r="A1076" s="235"/>
      <c r="B1076" s="9"/>
      <c r="C1076" s="7" t="s">
        <v>472</v>
      </c>
      <c r="D1076" s="17"/>
      <c r="E1076" s="218"/>
      <c r="F1076" s="218"/>
      <c r="G1076" s="218">
        <v>12.95</v>
      </c>
      <c r="H1076" s="218"/>
      <c r="I1076" s="218">
        <v>2.4</v>
      </c>
      <c r="J1076" s="218">
        <f>G1076*I1076</f>
        <v>31.08</v>
      </c>
      <c r="K1076" s="218"/>
      <c r="L1076" s="218"/>
      <c r="M1076" s="273"/>
    </row>
    <row r="1077" spans="1:13" x14ac:dyDescent="0.2">
      <c r="A1077" s="235"/>
      <c r="B1077" s="9"/>
      <c r="C1077" s="7" t="s">
        <v>473</v>
      </c>
      <c r="D1077" s="17"/>
      <c r="E1077" s="218"/>
      <c r="F1077" s="218"/>
      <c r="G1077" s="218"/>
      <c r="H1077" s="218"/>
      <c r="I1077" s="218"/>
      <c r="J1077" s="218">
        <v>-1.62</v>
      </c>
      <c r="K1077" s="218"/>
      <c r="L1077" s="218"/>
      <c r="M1077" s="273"/>
    </row>
    <row r="1078" spans="1:13" x14ac:dyDescent="0.2">
      <c r="A1078" s="235"/>
      <c r="B1078" s="9"/>
      <c r="C1078" s="7" t="s">
        <v>474</v>
      </c>
      <c r="D1078" s="17"/>
      <c r="E1078" s="218"/>
      <c r="F1078" s="218"/>
      <c r="G1078" s="218">
        <v>1</v>
      </c>
      <c r="H1078" s="218"/>
      <c r="I1078" s="218">
        <v>2.4</v>
      </c>
      <c r="J1078" s="218">
        <v>2.4</v>
      </c>
      <c r="K1078" s="218"/>
      <c r="L1078" s="218"/>
      <c r="M1078" s="273">
        <f>J1076+J1077+J1078</f>
        <v>31.859999999999996</v>
      </c>
    </row>
    <row r="1079" spans="1:13" x14ac:dyDescent="0.2">
      <c r="A1079" s="235"/>
      <c r="B1079" s="9"/>
      <c r="C1079" s="7"/>
      <c r="D1079" s="17"/>
      <c r="E1079" s="218"/>
      <c r="F1079" s="218"/>
      <c r="G1079" s="218"/>
      <c r="H1079" s="218"/>
      <c r="I1079" s="218"/>
      <c r="J1079" s="218"/>
      <c r="K1079" s="218"/>
      <c r="L1079" s="218"/>
      <c r="M1079" s="273"/>
    </row>
    <row r="1080" spans="1:13" x14ac:dyDescent="0.2">
      <c r="A1080" s="235"/>
      <c r="B1080" s="9"/>
      <c r="C1080" s="7" t="s">
        <v>475</v>
      </c>
      <c r="D1080" s="17"/>
      <c r="E1080" s="218"/>
      <c r="F1080" s="218"/>
      <c r="G1080" s="218"/>
      <c r="H1080" s="218"/>
      <c r="I1080" s="218"/>
      <c r="J1080" s="218"/>
      <c r="K1080" s="218"/>
      <c r="L1080" s="218"/>
      <c r="M1080" s="273"/>
    </row>
    <row r="1081" spans="1:13" x14ac:dyDescent="0.2">
      <c r="A1081" s="235"/>
      <c r="B1081" s="9"/>
      <c r="C1081" s="7" t="s">
        <v>476</v>
      </c>
      <c r="D1081" s="17"/>
      <c r="E1081" s="218"/>
      <c r="F1081" s="218"/>
      <c r="G1081" s="218"/>
      <c r="H1081" s="218"/>
      <c r="I1081" s="218"/>
      <c r="J1081" s="218"/>
      <c r="K1081" s="218"/>
      <c r="L1081" s="218"/>
      <c r="M1081" s="273"/>
    </row>
    <row r="1082" spans="1:13" x14ac:dyDescent="0.2">
      <c r="A1082" s="235"/>
      <c r="B1082" s="9"/>
      <c r="C1082" s="7" t="s">
        <v>477</v>
      </c>
      <c r="D1082" s="17"/>
      <c r="E1082" s="218"/>
      <c r="F1082" s="218"/>
      <c r="G1082" s="218">
        <v>42</v>
      </c>
      <c r="H1082" s="218"/>
      <c r="I1082" s="218">
        <v>2.4</v>
      </c>
      <c r="J1082" s="218">
        <f>G1082*I1082</f>
        <v>100.8</v>
      </c>
      <c r="K1082" s="218"/>
      <c r="L1082" s="218"/>
      <c r="M1082" s="273"/>
    </row>
    <row r="1083" spans="1:13" x14ac:dyDescent="0.2">
      <c r="A1083" s="235"/>
      <c r="B1083" s="9"/>
      <c r="C1083" s="7" t="s">
        <v>479</v>
      </c>
      <c r="D1083" s="17"/>
      <c r="E1083" s="218"/>
      <c r="F1083" s="218"/>
      <c r="G1083" s="218"/>
      <c r="H1083" s="218"/>
      <c r="I1083" s="218"/>
      <c r="J1083" s="218">
        <v>-23.7</v>
      </c>
      <c r="K1083" s="218"/>
      <c r="L1083" s="218"/>
      <c r="M1083" s="273"/>
    </row>
    <row r="1084" spans="1:13" x14ac:dyDescent="0.2">
      <c r="A1084" s="235"/>
      <c r="B1084" s="9"/>
      <c r="C1084" s="7" t="s">
        <v>478</v>
      </c>
      <c r="D1084" s="17"/>
      <c r="E1084" s="218"/>
      <c r="F1084" s="218"/>
      <c r="G1084" s="218"/>
      <c r="H1084" s="218"/>
      <c r="I1084" s="218"/>
      <c r="J1084" s="218">
        <v>-12.6</v>
      </c>
      <c r="K1084" s="218"/>
      <c r="L1084" s="218"/>
      <c r="M1084" s="273"/>
    </row>
    <row r="1085" spans="1:13" x14ac:dyDescent="0.2">
      <c r="A1085" s="235"/>
      <c r="B1085" s="9"/>
      <c r="C1085" s="7" t="s">
        <v>480</v>
      </c>
      <c r="D1085" s="17"/>
      <c r="E1085" s="218"/>
      <c r="F1085" s="218"/>
      <c r="G1085" s="218"/>
      <c r="H1085" s="218"/>
      <c r="I1085" s="218"/>
      <c r="J1085" s="218">
        <v>-0.72</v>
      </c>
      <c r="K1085" s="218"/>
      <c r="L1085" s="218"/>
      <c r="M1085" s="273">
        <f>J1082+J1083+J1084+J1085</f>
        <v>63.78</v>
      </c>
    </row>
    <row r="1086" spans="1:13" x14ac:dyDescent="0.2">
      <c r="A1086" s="235"/>
      <c r="B1086" s="9"/>
      <c r="C1086" s="7"/>
      <c r="D1086" s="17"/>
      <c r="E1086" s="218"/>
      <c r="F1086" s="218"/>
      <c r="G1086" s="218"/>
      <c r="H1086" s="218"/>
      <c r="I1086" s="218"/>
      <c r="J1086" s="218"/>
      <c r="K1086" s="218"/>
      <c r="L1086" s="218"/>
      <c r="M1086" s="273"/>
    </row>
    <row r="1087" spans="1:13" x14ac:dyDescent="0.2">
      <c r="A1087" s="235"/>
      <c r="B1087" s="9"/>
      <c r="C1087" s="7" t="s">
        <v>481</v>
      </c>
      <c r="D1087" s="17"/>
      <c r="E1087" s="218"/>
      <c r="F1087" s="218"/>
      <c r="G1087" s="218"/>
      <c r="H1087" s="218"/>
      <c r="I1087" s="218"/>
      <c r="J1087" s="218"/>
      <c r="K1087" s="218"/>
      <c r="L1087" s="218"/>
      <c r="M1087" s="273"/>
    </row>
    <row r="1088" spans="1:13" x14ac:dyDescent="0.2">
      <c r="A1088" s="235"/>
      <c r="B1088" s="9"/>
      <c r="C1088" s="7" t="s">
        <v>482</v>
      </c>
      <c r="D1088" s="17"/>
      <c r="E1088" s="218"/>
      <c r="F1088" s="218"/>
      <c r="G1088" s="218">
        <v>15.7</v>
      </c>
      <c r="H1088" s="218"/>
      <c r="I1088" s="218">
        <v>2.4</v>
      </c>
      <c r="J1088" s="218">
        <f>G1088*I1088</f>
        <v>37.68</v>
      </c>
      <c r="K1088" s="218"/>
      <c r="L1088" s="218"/>
      <c r="M1088" s="273"/>
    </row>
    <row r="1089" spans="1:13" x14ac:dyDescent="0.2">
      <c r="A1089" s="235"/>
      <c r="B1089" s="9"/>
      <c r="C1089" s="7" t="s">
        <v>483</v>
      </c>
      <c r="D1089" s="17"/>
      <c r="E1089" s="218"/>
      <c r="F1089" s="218"/>
      <c r="G1089" s="218"/>
      <c r="H1089" s="218"/>
      <c r="I1089" s="218"/>
      <c r="J1089" s="218">
        <v>-2.94</v>
      </c>
      <c r="K1089" s="218"/>
      <c r="L1089" s="218"/>
      <c r="M1089" s="273"/>
    </row>
    <row r="1090" spans="1:13" x14ac:dyDescent="0.2">
      <c r="A1090" s="235"/>
      <c r="B1090" s="9"/>
      <c r="C1090" s="7" t="s">
        <v>484</v>
      </c>
      <c r="D1090" s="17"/>
      <c r="E1090" s="218"/>
      <c r="F1090" s="218"/>
      <c r="G1090" s="218"/>
      <c r="H1090" s="218"/>
      <c r="I1090" s="218"/>
      <c r="J1090" s="218">
        <v>-0.36</v>
      </c>
      <c r="K1090" s="218"/>
      <c r="L1090" s="218"/>
      <c r="M1090" s="273"/>
    </row>
    <row r="1091" spans="1:13" x14ac:dyDescent="0.2">
      <c r="A1091" s="235"/>
      <c r="B1091" s="9"/>
      <c r="C1091" s="7" t="s">
        <v>485</v>
      </c>
      <c r="D1091" s="17"/>
      <c r="E1091" s="218"/>
      <c r="F1091" s="218"/>
      <c r="G1091" s="218"/>
      <c r="H1091" s="218"/>
      <c r="I1091" s="218"/>
      <c r="J1091" s="218">
        <v>-5.05</v>
      </c>
      <c r="K1091" s="218"/>
      <c r="L1091" s="218"/>
      <c r="M1091" s="273">
        <f>J1088+J1089+J1090+J1091</f>
        <v>29.330000000000002</v>
      </c>
    </row>
    <row r="1092" spans="1:13" x14ac:dyDescent="0.2">
      <c r="A1092" s="235"/>
      <c r="B1092" s="9"/>
      <c r="C1092" s="7"/>
      <c r="D1092" s="17"/>
      <c r="E1092" s="218"/>
      <c r="F1092" s="218"/>
      <c r="G1092" s="218"/>
      <c r="H1092" s="218"/>
      <c r="I1092" s="218"/>
      <c r="J1092" s="218"/>
      <c r="K1092" s="218"/>
      <c r="L1092" s="218"/>
      <c r="M1092" s="273"/>
    </row>
    <row r="1093" spans="1:13" x14ac:dyDescent="0.2">
      <c r="A1093" s="235"/>
      <c r="B1093" s="9"/>
      <c r="C1093" s="7" t="s">
        <v>486</v>
      </c>
      <c r="D1093" s="17"/>
      <c r="E1093" s="218"/>
      <c r="F1093" s="218"/>
      <c r="G1093" s="218"/>
      <c r="H1093" s="218"/>
      <c r="I1093" s="218"/>
      <c r="J1093" s="218"/>
      <c r="K1093" s="218"/>
      <c r="L1093" s="218"/>
      <c r="M1093" s="273"/>
    </row>
    <row r="1094" spans="1:13" x14ac:dyDescent="0.2">
      <c r="A1094" s="235"/>
      <c r="B1094" s="9"/>
      <c r="C1094" s="7" t="s">
        <v>487</v>
      </c>
      <c r="D1094" s="17"/>
      <c r="E1094" s="218"/>
      <c r="F1094" s="218"/>
      <c r="G1094" s="218">
        <v>34.799999999999997</v>
      </c>
      <c r="H1094" s="218"/>
      <c r="I1094" s="218">
        <v>4.9000000000000004</v>
      </c>
      <c r="J1094" s="218">
        <f>G1094*I1094</f>
        <v>170.52</v>
      </c>
      <c r="K1094" s="218"/>
      <c r="L1094" s="218"/>
      <c r="M1094" s="273"/>
    </row>
    <row r="1095" spans="1:13" x14ac:dyDescent="0.2">
      <c r="A1095" s="235"/>
      <c r="B1095" s="9"/>
      <c r="C1095" s="7" t="s">
        <v>489</v>
      </c>
      <c r="D1095" s="17"/>
      <c r="E1095" s="218"/>
      <c r="F1095" s="218"/>
      <c r="G1095" s="218"/>
      <c r="H1095" s="218"/>
      <c r="I1095" s="218"/>
      <c r="J1095" s="218">
        <v>-8.82</v>
      </c>
      <c r="K1095" s="218"/>
      <c r="L1095" s="218"/>
      <c r="M1095" s="273"/>
    </row>
    <row r="1096" spans="1:13" x14ac:dyDescent="0.2">
      <c r="A1096" s="235"/>
      <c r="B1096" s="9"/>
      <c r="C1096" s="7" t="s">
        <v>488</v>
      </c>
      <c r="D1096" s="17"/>
      <c r="E1096" s="218"/>
      <c r="F1096" s="218"/>
      <c r="G1096" s="218">
        <v>-6</v>
      </c>
      <c r="H1096" s="218"/>
      <c r="I1096" s="218">
        <v>2.4</v>
      </c>
      <c r="J1096" s="218">
        <f>G1096*I1096</f>
        <v>-14.399999999999999</v>
      </c>
      <c r="K1096" s="218"/>
      <c r="L1096" s="218"/>
      <c r="M1096" s="273"/>
    </row>
    <row r="1097" spans="1:13" x14ac:dyDescent="0.2">
      <c r="A1097" s="235"/>
      <c r="B1097" s="9"/>
      <c r="C1097" s="7" t="s">
        <v>490</v>
      </c>
      <c r="D1097" s="17"/>
      <c r="E1097" s="218"/>
      <c r="F1097" s="218"/>
      <c r="G1097" s="218"/>
      <c r="H1097" s="218"/>
      <c r="I1097" s="218"/>
      <c r="J1097" s="218">
        <v>39.200000000000003</v>
      </c>
      <c r="K1097" s="218"/>
      <c r="L1097" s="218"/>
      <c r="M1097" s="273">
        <f>J1094+J1095+J1096+J1097</f>
        <v>186.5</v>
      </c>
    </row>
    <row r="1098" spans="1:13" x14ac:dyDescent="0.2">
      <c r="A1098" s="235"/>
      <c r="B1098" s="9"/>
      <c r="C1098" s="138"/>
      <c r="D1098" s="17"/>
      <c r="E1098" s="218"/>
      <c r="F1098" s="218"/>
      <c r="G1098" s="218"/>
      <c r="H1098" s="218"/>
      <c r="I1098" s="218"/>
      <c r="J1098" s="218"/>
      <c r="K1098" s="218"/>
      <c r="L1098" s="218"/>
      <c r="M1098" s="273"/>
    </row>
    <row r="1099" spans="1:13" x14ac:dyDescent="0.2">
      <c r="A1099" s="235"/>
      <c r="B1099" s="9"/>
      <c r="C1099" s="7" t="s">
        <v>491</v>
      </c>
      <c r="D1099" s="17"/>
      <c r="E1099" s="218"/>
      <c r="F1099" s="218"/>
      <c r="G1099" s="218"/>
      <c r="H1099" s="218"/>
      <c r="I1099" s="218"/>
      <c r="J1099" s="218"/>
      <c r="K1099" s="218"/>
      <c r="L1099" s="218"/>
      <c r="M1099" s="273"/>
    </row>
    <row r="1100" spans="1:13" x14ac:dyDescent="0.2">
      <c r="A1100" s="235"/>
      <c r="B1100" s="9"/>
      <c r="C1100" s="7" t="s">
        <v>492</v>
      </c>
      <c r="D1100" s="17"/>
      <c r="E1100" s="218"/>
      <c r="F1100" s="218"/>
      <c r="G1100" s="218">
        <v>14.4</v>
      </c>
      <c r="H1100" s="218"/>
      <c r="I1100" s="218">
        <v>5.2</v>
      </c>
      <c r="J1100" s="218">
        <f>G1100*I1100</f>
        <v>74.88000000000001</v>
      </c>
      <c r="K1100" s="218"/>
      <c r="L1100" s="218"/>
      <c r="M1100" s="273">
        <f>J1100</f>
        <v>74.88000000000001</v>
      </c>
    </row>
    <row r="1101" spans="1:13" ht="15" thickBot="1" x14ac:dyDescent="0.25">
      <c r="A1101" s="235"/>
      <c r="B1101" s="9"/>
      <c r="C1101" s="7"/>
      <c r="D1101" s="17"/>
      <c r="E1101" s="218"/>
      <c r="F1101" s="218"/>
      <c r="G1101" s="218"/>
      <c r="H1101" s="218"/>
      <c r="I1101" s="218"/>
      <c r="J1101" s="218"/>
      <c r="K1101" s="218"/>
      <c r="L1101" s="218"/>
      <c r="M1101" s="273"/>
    </row>
    <row r="1102" spans="1:13" ht="15" thickBot="1" x14ac:dyDescent="0.25">
      <c r="A1102" s="235"/>
      <c r="B1102" s="9"/>
      <c r="C1102" s="33"/>
      <c r="D1102" s="408" t="s">
        <v>495</v>
      </c>
      <c r="E1102" s="409"/>
      <c r="F1102" s="218"/>
      <c r="G1102" s="218"/>
      <c r="H1102" s="218"/>
      <c r="I1102" s="216"/>
      <c r="J1102" s="38">
        <v>199.26</v>
      </c>
      <c r="K1102" s="37"/>
      <c r="L1102" s="218"/>
      <c r="M1102" s="273"/>
    </row>
    <row r="1103" spans="1:13" x14ac:dyDescent="0.2">
      <c r="A1103" s="235"/>
      <c r="B1103" s="9"/>
      <c r="C1103" s="7" t="s">
        <v>522</v>
      </c>
      <c r="D1103" s="17"/>
      <c r="E1103" s="218"/>
      <c r="F1103" s="218"/>
      <c r="G1103" s="218"/>
      <c r="H1103" s="218"/>
      <c r="I1103" s="218"/>
      <c r="J1103" s="218"/>
      <c r="K1103" s="218"/>
      <c r="L1103" s="218"/>
      <c r="M1103" s="273"/>
    </row>
    <row r="1104" spans="1:13" x14ac:dyDescent="0.2">
      <c r="A1104" s="235"/>
      <c r="B1104" s="9"/>
      <c r="C1104" s="7" t="s">
        <v>523</v>
      </c>
      <c r="D1104" s="17"/>
      <c r="E1104" s="218"/>
      <c r="F1104" s="218"/>
      <c r="G1104" s="218"/>
      <c r="H1104" s="218"/>
      <c r="I1104" s="218"/>
      <c r="J1104" s="218"/>
      <c r="K1104" s="218"/>
      <c r="L1104" s="218"/>
      <c r="M1104" s="273"/>
    </row>
    <row r="1105" spans="1:13" x14ac:dyDescent="0.2">
      <c r="A1105" s="235"/>
      <c r="B1105" s="9"/>
      <c r="C1105" s="7" t="s">
        <v>524</v>
      </c>
      <c r="D1105" s="17"/>
      <c r="E1105" s="218"/>
      <c r="F1105" s="218"/>
      <c r="G1105" s="218"/>
      <c r="H1105" s="218"/>
      <c r="I1105" s="218"/>
      <c r="J1105" s="218"/>
      <c r="K1105" s="218"/>
      <c r="L1105" s="218"/>
      <c r="M1105" s="273"/>
    </row>
    <row r="1106" spans="1:13" x14ac:dyDescent="0.2">
      <c r="A1106" s="235"/>
      <c r="B1106" s="9"/>
      <c r="C1106" s="7" t="s">
        <v>525</v>
      </c>
      <c r="D1106" s="17"/>
      <c r="E1106" s="218"/>
      <c r="F1106" s="218"/>
      <c r="G1106" s="218"/>
      <c r="H1106" s="218"/>
      <c r="I1106" s="218"/>
      <c r="J1106" s="218"/>
      <c r="K1106" s="218"/>
      <c r="L1106" s="218"/>
      <c r="M1106" s="273"/>
    </row>
    <row r="1107" spans="1:13" x14ac:dyDescent="0.2">
      <c r="A1107" s="235"/>
      <c r="B1107" s="9"/>
      <c r="C1107" s="7" t="s">
        <v>526</v>
      </c>
      <c r="D1107" s="17"/>
      <c r="E1107" s="218"/>
      <c r="F1107" s="218"/>
      <c r="G1107" s="218"/>
      <c r="H1107" s="218"/>
      <c r="I1107" s="218"/>
      <c r="J1107" s="218"/>
      <c r="K1107" s="218"/>
      <c r="L1107" s="218"/>
      <c r="M1107" s="217"/>
    </row>
    <row r="1108" spans="1:13" x14ac:dyDescent="0.2">
      <c r="A1108" s="235"/>
      <c r="B1108" s="9"/>
      <c r="C1108" s="7" t="s">
        <v>527</v>
      </c>
      <c r="D1108" s="17"/>
      <c r="E1108" s="218"/>
      <c r="F1108" s="218"/>
      <c r="G1108" s="218"/>
      <c r="H1108" s="218"/>
      <c r="I1108" s="218"/>
      <c r="J1108" s="218"/>
      <c r="K1108" s="218"/>
      <c r="L1108" s="218"/>
      <c r="M1108" s="217"/>
    </row>
    <row r="1109" spans="1:13" x14ac:dyDescent="0.2">
      <c r="A1109" s="235"/>
      <c r="B1109" s="9"/>
      <c r="C1109" s="7" t="s">
        <v>528</v>
      </c>
      <c r="D1109" s="17"/>
      <c r="E1109" s="218"/>
      <c r="F1109" s="218"/>
      <c r="G1109" s="218"/>
      <c r="H1109" s="218"/>
      <c r="I1109" s="218"/>
      <c r="J1109" s="218"/>
      <c r="K1109" s="218"/>
      <c r="L1109" s="218"/>
      <c r="M1109" s="217"/>
    </row>
    <row r="1110" spans="1:13" x14ac:dyDescent="0.2">
      <c r="A1110" s="235"/>
      <c r="B1110" s="9"/>
      <c r="C1110" s="7" t="s">
        <v>529</v>
      </c>
      <c r="D1110" s="17"/>
      <c r="E1110" s="218"/>
      <c r="F1110" s="218"/>
      <c r="G1110" s="218"/>
      <c r="H1110" s="218"/>
      <c r="I1110" s="218"/>
      <c r="J1110" s="218"/>
      <c r="K1110" s="218"/>
      <c r="L1110" s="218"/>
      <c r="M1110" s="217"/>
    </row>
    <row r="1111" spans="1:13" x14ac:dyDescent="0.2">
      <c r="A1111" s="235"/>
      <c r="B1111" s="9"/>
      <c r="C1111" s="7" t="s">
        <v>530</v>
      </c>
      <c r="D1111" s="17"/>
      <c r="E1111" s="218"/>
      <c r="F1111" s="218"/>
      <c r="G1111" s="218"/>
      <c r="H1111" s="218"/>
      <c r="I1111" s="218"/>
      <c r="J1111" s="218"/>
      <c r="K1111" s="218"/>
      <c r="L1111" s="218"/>
      <c r="M1111" s="217"/>
    </row>
    <row r="1112" spans="1:13" ht="15" x14ac:dyDescent="0.25">
      <c r="A1112" s="315"/>
      <c r="B1112" s="327"/>
      <c r="C1112" s="328" t="s">
        <v>531</v>
      </c>
      <c r="D1112" s="329"/>
      <c r="E1112" s="354"/>
      <c r="F1112" s="354"/>
      <c r="G1112" s="354"/>
      <c r="H1112" s="354"/>
      <c r="I1112" s="354"/>
      <c r="J1112" s="354"/>
      <c r="K1112" s="354"/>
      <c r="L1112" s="354"/>
      <c r="M1112" s="355"/>
    </row>
    <row r="1113" spans="1:13" x14ac:dyDescent="0.2">
      <c r="A1113" s="235"/>
      <c r="B1113" s="9"/>
      <c r="C1113" s="33"/>
      <c r="D1113" s="17"/>
      <c r="E1113" s="218"/>
      <c r="F1113" s="218"/>
      <c r="G1113" s="218"/>
      <c r="H1113" s="218"/>
      <c r="I1113" s="218"/>
      <c r="J1113" s="218"/>
      <c r="K1113" s="218"/>
      <c r="L1113" s="35"/>
      <c r="M1113" s="273"/>
    </row>
    <row r="1114" spans="1:13" x14ac:dyDescent="0.2">
      <c r="A1114" s="235"/>
      <c r="B1114" s="9"/>
      <c r="C1114" s="33" t="s">
        <v>497</v>
      </c>
      <c r="D1114" s="408" t="s">
        <v>494</v>
      </c>
      <c r="E1114" s="409"/>
      <c r="F1114" s="218"/>
      <c r="G1114" s="218"/>
      <c r="H1114" s="218"/>
      <c r="I1114" s="218"/>
      <c r="J1114" s="218"/>
      <c r="K1114" s="218"/>
      <c r="L1114" s="35"/>
      <c r="M1114" s="273"/>
    </row>
    <row r="1115" spans="1:13" ht="15" thickBot="1" x14ac:dyDescent="0.25">
      <c r="A1115" s="235"/>
      <c r="B1115" s="9"/>
      <c r="C1115" s="33"/>
      <c r="D1115" s="17"/>
      <c r="E1115" s="218"/>
      <c r="F1115" s="218"/>
      <c r="G1115" s="218"/>
      <c r="H1115" s="218"/>
      <c r="I1115" s="218"/>
      <c r="J1115" s="218"/>
      <c r="K1115" s="218"/>
      <c r="L1115" s="35"/>
      <c r="M1115" s="273"/>
    </row>
    <row r="1116" spans="1:13" ht="15" thickBot="1" x14ac:dyDescent="0.25">
      <c r="A1116" s="235"/>
      <c r="B1116" s="9"/>
      <c r="C1116" s="39" t="s">
        <v>516</v>
      </c>
      <c r="D1116" s="17"/>
      <c r="E1116" s="218"/>
      <c r="F1116" s="218"/>
      <c r="G1116" s="218"/>
      <c r="H1116" s="218"/>
      <c r="I1116" s="218"/>
      <c r="J1116" s="218"/>
      <c r="K1116" s="218"/>
      <c r="L1116" s="298"/>
      <c r="M1116" s="36">
        <f>SUM(M1117:M1144)</f>
        <v>176.51</v>
      </c>
    </row>
    <row r="1117" spans="1:13" x14ac:dyDescent="0.2">
      <c r="A1117" s="235"/>
      <c r="B1117" s="9"/>
      <c r="C1117" s="7" t="s">
        <v>498</v>
      </c>
      <c r="D1117" s="17"/>
      <c r="E1117" s="218"/>
      <c r="F1117" s="218"/>
      <c r="G1117" s="218">
        <v>31.2</v>
      </c>
      <c r="H1117" s="218"/>
      <c r="I1117" s="218">
        <v>2.2999999999999998</v>
      </c>
      <c r="J1117" s="218">
        <f>G1117*I1117</f>
        <v>71.759999999999991</v>
      </c>
      <c r="K1117" s="218"/>
      <c r="L1117" s="35"/>
      <c r="M1117" s="273"/>
    </row>
    <row r="1118" spans="1:13" x14ac:dyDescent="0.2">
      <c r="A1118" s="235"/>
      <c r="B1118" s="9"/>
      <c r="C1118" s="7" t="s">
        <v>499</v>
      </c>
      <c r="D1118" s="17"/>
      <c r="E1118" s="218"/>
      <c r="F1118" s="218"/>
      <c r="G1118" s="218">
        <v>-13.2</v>
      </c>
      <c r="H1118" s="218"/>
      <c r="I1118" s="218">
        <v>2.2999999999999998</v>
      </c>
      <c r="J1118" s="218">
        <f>G1118*I1118</f>
        <v>-30.359999999999996</v>
      </c>
      <c r="K1118" s="218"/>
      <c r="L1118" s="35"/>
      <c r="M1118" s="273"/>
    </row>
    <row r="1119" spans="1:13" x14ac:dyDescent="0.2">
      <c r="A1119" s="235"/>
      <c r="B1119" s="9"/>
      <c r="C1119" s="7" t="s">
        <v>501</v>
      </c>
      <c r="D1119" s="17"/>
      <c r="E1119" s="218"/>
      <c r="F1119" s="218"/>
      <c r="G1119" s="218">
        <v>27.1</v>
      </c>
      <c r="H1119" s="218"/>
      <c r="I1119" s="218">
        <v>2.2999999999999998</v>
      </c>
      <c r="J1119" s="218">
        <f>G1119*I1119</f>
        <v>62.33</v>
      </c>
      <c r="K1119" s="218"/>
      <c r="L1119" s="35"/>
      <c r="M1119" s="273"/>
    </row>
    <row r="1120" spans="1:13" x14ac:dyDescent="0.2">
      <c r="A1120" s="235"/>
      <c r="B1120" s="9"/>
      <c r="C1120" s="7" t="s">
        <v>500</v>
      </c>
      <c r="D1120" s="17"/>
      <c r="E1120" s="218"/>
      <c r="F1120" s="218"/>
      <c r="G1120" s="218"/>
      <c r="H1120" s="218"/>
      <c r="I1120" s="218"/>
      <c r="J1120" s="218">
        <v>-15.84</v>
      </c>
      <c r="K1120" s="218"/>
      <c r="L1120" s="35"/>
      <c r="M1120" s="273">
        <f>SUM(J1117:J1120)</f>
        <v>87.889999999999986</v>
      </c>
    </row>
    <row r="1121" spans="1:13" x14ac:dyDescent="0.2">
      <c r="A1121" s="235"/>
      <c r="B1121" s="9"/>
      <c r="C1121" s="7"/>
      <c r="D1121" s="17"/>
      <c r="E1121" s="218"/>
      <c r="F1121" s="218"/>
      <c r="G1121" s="218"/>
      <c r="H1121" s="218"/>
      <c r="I1121" s="218"/>
      <c r="J1121" s="139"/>
      <c r="K1121" s="218"/>
      <c r="L1121" s="35"/>
      <c r="M1121" s="295"/>
    </row>
    <row r="1122" spans="1:13" x14ac:dyDescent="0.2">
      <c r="A1122" s="235"/>
      <c r="B1122" s="9"/>
      <c r="C1122" s="7" t="s">
        <v>502</v>
      </c>
      <c r="D1122" s="17"/>
      <c r="E1122" s="218"/>
      <c r="F1122" s="218"/>
      <c r="G1122" s="218"/>
      <c r="H1122" s="218"/>
      <c r="I1122" s="218"/>
      <c r="J1122" s="218"/>
      <c r="K1122" s="218"/>
      <c r="L1122" s="35"/>
      <c r="M1122" s="273"/>
    </row>
    <row r="1123" spans="1:13" x14ac:dyDescent="0.2">
      <c r="A1123" s="235"/>
      <c r="B1123" s="9"/>
      <c r="C1123" s="7" t="s">
        <v>503</v>
      </c>
      <c r="D1123" s="17"/>
      <c r="E1123" s="218"/>
      <c r="F1123" s="218"/>
      <c r="G1123" s="218">
        <v>15</v>
      </c>
      <c r="H1123" s="218"/>
      <c r="I1123" s="218">
        <v>2.2999999999999998</v>
      </c>
      <c r="J1123" s="218">
        <f>G1123*I1123</f>
        <v>34.5</v>
      </c>
      <c r="K1123" s="218"/>
      <c r="L1123" s="35"/>
      <c r="M1123" s="273"/>
    </row>
    <row r="1124" spans="1:13" x14ac:dyDescent="0.2">
      <c r="A1124" s="235"/>
      <c r="B1124" s="9"/>
      <c r="C1124" s="7" t="s">
        <v>511</v>
      </c>
      <c r="D1124" s="17"/>
      <c r="E1124" s="218"/>
      <c r="F1124" s="218"/>
      <c r="G1124" s="218">
        <v>5</v>
      </c>
      <c r="H1124" s="218"/>
      <c r="I1124" s="218">
        <v>-2.2999999999999998</v>
      </c>
      <c r="J1124" s="218">
        <f>G1124*I1124</f>
        <v>-11.5</v>
      </c>
      <c r="K1124" s="218"/>
      <c r="L1124" s="35"/>
      <c r="M1124" s="273">
        <f>J1123+J1124</f>
        <v>23</v>
      </c>
    </row>
    <row r="1125" spans="1:13" x14ac:dyDescent="0.2">
      <c r="A1125" s="235"/>
      <c r="B1125" s="9"/>
      <c r="C1125" s="7" t="s">
        <v>504</v>
      </c>
      <c r="D1125" s="17"/>
      <c r="E1125" s="218"/>
      <c r="F1125" s="218"/>
      <c r="G1125" s="218"/>
      <c r="H1125" s="218"/>
      <c r="I1125" s="218"/>
      <c r="J1125" s="218"/>
      <c r="K1125" s="218"/>
      <c r="L1125" s="35"/>
      <c r="M1125" s="273"/>
    </row>
    <row r="1126" spans="1:13" x14ac:dyDescent="0.2">
      <c r="A1126" s="235"/>
      <c r="B1126" s="9"/>
      <c r="C1126" s="7" t="s">
        <v>505</v>
      </c>
      <c r="D1126" s="17"/>
      <c r="E1126" s="218"/>
      <c r="F1126" s="218"/>
      <c r="G1126" s="218">
        <v>8.8000000000000007</v>
      </c>
      <c r="H1126" s="218"/>
      <c r="I1126" s="218">
        <v>2.2999999999999998</v>
      </c>
      <c r="J1126" s="218">
        <f>G1126*I1126</f>
        <v>20.239999999999998</v>
      </c>
      <c r="K1126" s="218"/>
      <c r="L1126" s="35"/>
      <c r="M1126" s="273">
        <f>J1126</f>
        <v>20.239999999999998</v>
      </c>
    </row>
    <row r="1127" spans="1:13" x14ac:dyDescent="0.2">
      <c r="A1127" s="235"/>
      <c r="B1127" s="9"/>
      <c r="C1127" s="7"/>
      <c r="D1127" s="17"/>
      <c r="E1127" s="218"/>
      <c r="F1127" s="218"/>
      <c r="G1127" s="218"/>
      <c r="H1127" s="218"/>
      <c r="I1127" s="218"/>
      <c r="J1127" s="218"/>
      <c r="K1127" s="218"/>
      <c r="L1127" s="35"/>
      <c r="M1127" s="273"/>
    </row>
    <row r="1128" spans="1:13" x14ac:dyDescent="0.2">
      <c r="A1128" s="235"/>
      <c r="B1128" s="9"/>
      <c r="C1128" s="7" t="s">
        <v>506</v>
      </c>
      <c r="D1128" s="17"/>
      <c r="E1128" s="218"/>
      <c r="F1128" s="218"/>
      <c r="G1128" s="218"/>
      <c r="H1128" s="218"/>
      <c r="I1128" s="218"/>
      <c r="J1128" s="218"/>
      <c r="K1128" s="218"/>
      <c r="L1128" s="35"/>
      <c r="M1128" s="273"/>
    </row>
    <row r="1129" spans="1:13" x14ac:dyDescent="0.2">
      <c r="A1129" s="235"/>
      <c r="B1129" s="9"/>
      <c r="C1129" s="7" t="s">
        <v>507</v>
      </c>
      <c r="D1129" s="17"/>
      <c r="E1129" s="218"/>
      <c r="F1129" s="218"/>
      <c r="G1129" s="218">
        <v>7.8</v>
      </c>
      <c r="H1129" s="218"/>
      <c r="I1129" s="218">
        <v>1.1499999999999999</v>
      </c>
      <c r="J1129" s="218">
        <f>G1129*I1129</f>
        <v>8.9699999999999989</v>
      </c>
      <c r="K1129" s="218"/>
      <c r="L1129" s="35"/>
      <c r="M1129" s="273"/>
    </row>
    <row r="1130" spans="1:13" x14ac:dyDescent="0.2">
      <c r="A1130" s="235"/>
      <c r="B1130" s="9"/>
      <c r="C1130" s="7" t="s">
        <v>508</v>
      </c>
      <c r="D1130" s="17"/>
      <c r="E1130" s="218"/>
      <c r="F1130" s="218">
        <v>-1.6</v>
      </c>
      <c r="G1130" s="218"/>
      <c r="H1130" s="218"/>
      <c r="I1130" s="218">
        <v>0.9</v>
      </c>
      <c r="J1130" s="218">
        <f>F1130*I1130</f>
        <v>-1.4400000000000002</v>
      </c>
      <c r="K1130" s="218"/>
      <c r="L1130" s="35"/>
      <c r="M1130" s="273">
        <f>SUM(J1129:J1130)</f>
        <v>7.5299999999999985</v>
      </c>
    </row>
    <row r="1131" spans="1:13" x14ac:dyDescent="0.2">
      <c r="A1131" s="235"/>
      <c r="B1131" s="9"/>
      <c r="C1131" s="7"/>
      <c r="D1131" s="17"/>
      <c r="E1131" s="218"/>
      <c r="F1131" s="218"/>
      <c r="G1131" s="218"/>
      <c r="H1131" s="218"/>
      <c r="I1131" s="218"/>
      <c r="J1131" s="218"/>
      <c r="K1131" s="218"/>
      <c r="L1131" s="35"/>
      <c r="M1131" s="273"/>
    </row>
    <row r="1132" spans="1:13" x14ac:dyDescent="0.2">
      <c r="A1132" s="235"/>
      <c r="B1132" s="9"/>
      <c r="C1132" s="7" t="s">
        <v>517</v>
      </c>
      <c r="D1132" s="17"/>
      <c r="E1132" s="218"/>
      <c r="F1132" s="218"/>
      <c r="G1132" s="218"/>
      <c r="H1132" s="218"/>
      <c r="I1132" s="218"/>
      <c r="J1132" s="218"/>
      <c r="K1132" s="218"/>
      <c r="L1132" s="35"/>
      <c r="M1132" s="273"/>
    </row>
    <row r="1133" spans="1:13" x14ac:dyDescent="0.2">
      <c r="A1133" s="235"/>
      <c r="B1133" s="9"/>
      <c r="C1133" s="7" t="s">
        <v>509</v>
      </c>
      <c r="D1133" s="17"/>
      <c r="E1133" s="218"/>
      <c r="F1133" s="218"/>
      <c r="G1133" s="218">
        <v>15.6</v>
      </c>
      <c r="H1133" s="218"/>
      <c r="I1133" s="218">
        <v>2.2999999999999998</v>
      </c>
      <c r="J1133" s="218">
        <f>G1133*I1133</f>
        <v>35.879999999999995</v>
      </c>
      <c r="K1133" s="218"/>
      <c r="L1133" s="35"/>
      <c r="M1133" s="273"/>
    </row>
    <row r="1134" spans="1:13" x14ac:dyDescent="0.2">
      <c r="A1134" s="235"/>
      <c r="B1134" s="9"/>
      <c r="C1134" s="33" t="s">
        <v>510</v>
      </c>
      <c r="D1134" s="17"/>
      <c r="E1134" s="218"/>
      <c r="F1134" s="218"/>
      <c r="G1134" s="218">
        <v>5.3</v>
      </c>
      <c r="H1134" s="218"/>
      <c r="I1134" s="218">
        <v>-2.2999999999999998</v>
      </c>
      <c r="J1134" s="218">
        <f>G1134*I1134</f>
        <v>-12.19</v>
      </c>
      <c r="K1134" s="218"/>
      <c r="L1134" s="35"/>
      <c r="M1134" s="273">
        <f>J1133+J1134</f>
        <v>23.689999999999998</v>
      </c>
    </row>
    <row r="1135" spans="1:13" x14ac:dyDescent="0.2">
      <c r="A1135" s="235"/>
      <c r="B1135" s="9"/>
      <c r="C1135" s="33"/>
      <c r="D1135" s="17"/>
      <c r="E1135" s="218"/>
      <c r="F1135" s="218"/>
      <c r="G1135" s="218"/>
      <c r="H1135" s="218"/>
      <c r="I1135" s="218"/>
      <c r="J1135" s="218"/>
      <c r="K1135" s="218"/>
      <c r="L1135" s="35"/>
      <c r="M1135" s="273"/>
    </row>
    <row r="1136" spans="1:13" x14ac:dyDescent="0.2">
      <c r="A1136" s="235"/>
      <c r="B1136" s="9"/>
      <c r="C1136" s="7" t="s">
        <v>512</v>
      </c>
      <c r="D1136" s="17"/>
      <c r="E1136" s="218"/>
      <c r="F1136" s="218"/>
      <c r="G1136" s="218"/>
      <c r="H1136" s="218"/>
      <c r="I1136" s="218"/>
      <c r="J1136" s="218"/>
      <c r="K1136" s="218"/>
      <c r="L1136" s="35"/>
      <c r="M1136" s="273"/>
    </row>
    <row r="1137" spans="1:13" x14ac:dyDescent="0.2">
      <c r="A1137" s="235"/>
      <c r="B1137" s="9"/>
      <c r="C1137" s="7" t="s">
        <v>513</v>
      </c>
      <c r="D1137" s="17"/>
      <c r="E1137" s="218"/>
      <c r="F1137" s="218"/>
      <c r="G1137" s="218">
        <v>12.3</v>
      </c>
      <c r="H1137" s="218"/>
      <c r="I1137" s="218">
        <v>2.2999999999999998</v>
      </c>
      <c r="J1137" s="218">
        <f>G1137*I1137</f>
        <v>28.29</v>
      </c>
      <c r="K1137" s="218"/>
      <c r="L1137" s="35"/>
      <c r="M1137" s="273"/>
    </row>
    <row r="1138" spans="1:13" x14ac:dyDescent="0.2">
      <c r="A1138" s="235"/>
      <c r="B1138" s="9"/>
      <c r="C1138" s="7" t="s">
        <v>514</v>
      </c>
      <c r="D1138" s="17"/>
      <c r="E1138" s="218"/>
      <c r="F1138" s="218"/>
      <c r="G1138" s="218">
        <v>5</v>
      </c>
      <c r="H1138" s="218"/>
      <c r="I1138" s="218">
        <v>-2.2999999999999998</v>
      </c>
      <c r="J1138" s="218">
        <f>G1138*I1138</f>
        <v>-11.5</v>
      </c>
      <c r="K1138" s="218"/>
      <c r="L1138" s="35"/>
      <c r="M1138" s="273"/>
    </row>
    <row r="1139" spans="1:13" x14ac:dyDescent="0.2">
      <c r="A1139" s="235"/>
      <c r="B1139" s="9"/>
      <c r="C1139" s="7" t="s">
        <v>515</v>
      </c>
      <c r="D1139" s="17"/>
      <c r="E1139" s="218"/>
      <c r="F1139" s="218"/>
      <c r="G1139" s="218">
        <v>4.4000000000000004</v>
      </c>
      <c r="H1139" s="218"/>
      <c r="I1139" s="218">
        <v>-1.2</v>
      </c>
      <c r="J1139" s="218">
        <f>G1139*I1139</f>
        <v>-5.28</v>
      </c>
      <c r="K1139" s="218"/>
      <c r="L1139" s="35"/>
      <c r="M1139" s="273">
        <f>SUM(J1137:J1139)</f>
        <v>11.509999999999998</v>
      </c>
    </row>
    <row r="1140" spans="1:13" x14ac:dyDescent="0.2">
      <c r="A1140" s="235"/>
      <c r="B1140" s="9"/>
      <c r="C1140" s="7"/>
      <c r="D1140" s="17"/>
      <c r="E1140" s="218"/>
      <c r="F1140" s="218"/>
      <c r="G1140" s="218"/>
      <c r="H1140" s="218"/>
      <c r="I1140" s="218"/>
      <c r="J1140" s="218"/>
      <c r="K1140" s="218"/>
      <c r="L1140" s="35"/>
      <c r="M1140" s="273"/>
    </row>
    <row r="1141" spans="1:13" x14ac:dyDescent="0.2">
      <c r="A1141" s="235"/>
      <c r="B1141" s="9"/>
      <c r="C1141" s="7" t="s">
        <v>518</v>
      </c>
      <c r="D1141" s="17"/>
      <c r="E1141" s="218"/>
      <c r="F1141" s="218"/>
      <c r="G1141" s="218"/>
      <c r="H1141" s="218"/>
      <c r="I1141" s="218"/>
      <c r="J1141" s="218"/>
      <c r="K1141" s="218"/>
      <c r="L1141" s="35"/>
      <c r="M1141" s="273"/>
    </row>
    <row r="1142" spans="1:13" x14ac:dyDescent="0.2">
      <c r="A1142" s="235"/>
      <c r="B1142" s="9"/>
      <c r="C1142" s="7" t="s">
        <v>519</v>
      </c>
      <c r="D1142" s="17"/>
      <c r="E1142" s="218"/>
      <c r="F1142" s="218"/>
      <c r="G1142" s="218">
        <v>9</v>
      </c>
      <c r="H1142" s="218"/>
      <c r="I1142" s="218">
        <v>2.2999999999999998</v>
      </c>
      <c r="J1142" s="218">
        <f>G1142*I1142</f>
        <v>20.7</v>
      </c>
      <c r="K1142" s="218"/>
      <c r="L1142" s="35"/>
      <c r="M1142" s="273"/>
    </row>
    <row r="1143" spans="1:13" x14ac:dyDescent="0.2">
      <c r="A1143" s="235"/>
      <c r="B1143" s="9"/>
      <c r="C1143" s="7" t="s">
        <v>520</v>
      </c>
      <c r="D1143" s="17"/>
      <c r="E1143" s="218"/>
      <c r="F1143" s="218"/>
      <c r="G1143" s="218">
        <v>5.5</v>
      </c>
      <c r="H1143" s="218"/>
      <c r="I1143" s="218">
        <v>-2.2999999999999998</v>
      </c>
      <c r="J1143" s="218">
        <f>G1143*I1143</f>
        <v>-12.649999999999999</v>
      </c>
      <c r="K1143" s="218"/>
      <c r="L1143" s="35"/>
      <c r="M1143" s="273"/>
    </row>
    <row r="1144" spans="1:13" x14ac:dyDescent="0.2">
      <c r="A1144" s="235"/>
      <c r="B1144" s="9"/>
      <c r="C1144" s="7" t="s">
        <v>521</v>
      </c>
      <c r="D1144" s="17"/>
      <c r="E1144" s="218"/>
      <c r="F1144" s="218"/>
      <c r="G1144" s="218">
        <v>4.5</v>
      </c>
      <c r="H1144" s="218"/>
      <c r="I1144" s="218">
        <v>-1.2</v>
      </c>
      <c r="J1144" s="218">
        <f>G1144*I1144</f>
        <v>-5.3999999999999995</v>
      </c>
      <c r="K1144" s="218"/>
      <c r="L1144" s="35"/>
      <c r="M1144" s="273">
        <f>SUM(J1142:J1144)</f>
        <v>2.6500000000000012</v>
      </c>
    </row>
    <row r="1145" spans="1:13" x14ac:dyDescent="0.2">
      <c r="A1145" s="235"/>
      <c r="B1145" s="9"/>
      <c r="C1145" s="7"/>
      <c r="D1145" s="17"/>
      <c r="E1145" s="218"/>
      <c r="F1145" s="218"/>
      <c r="G1145" s="218"/>
      <c r="H1145" s="218"/>
      <c r="I1145" s="218"/>
      <c r="J1145" s="218"/>
      <c r="K1145" s="218"/>
      <c r="L1145" s="35"/>
      <c r="M1145" s="273"/>
    </row>
    <row r="1146" spans="1:13" x14ac:dyDescent="0.2">
      <c r="A1146" s="235"/>
      <c r="B1146" s="9"/>
      <c r="C1146" s="7" t="s">
        <v>532</v>
      </c>
      <c r="D1146" s="17"/>
      <c r="E1146" s="218"/>
      <c r="F1146" s="218"/>
      <c r="G1146" s="218"/>
      <c r="H1146" s="416" t="s">
        <v>535</v>
      </c>
      <c r="I1146" s="416"/>
      <c r="J1146" s="215" t="s">
        <v>533</v>
      </c>
      <c r="K1146" s="412">
        <v>199.26</v>
      </c>
      <c r="L1146" s="413"/>
      <c r="M1146" s="273"/>
    </row>
    <row r="1147" spans="1:13" ht="15" thickBot="1" x14ac:dyDescent="0.25">
      <c r="A1147" s="235"/>
      <c r="B1147" s="9"/>
      <c r="C1147" s="7"/>
      <c r="D1147" s="17"/>
      <c r="E1147" s="218"/>
      <c r="F1147" s="218"/>
      <c r="G1147" s="218"/>
      <c r="H1147" s="416"/>
      <c r="I1147" s="416"/>
      <c r="J1147" s="215" t="s">
        <v>534</v>
      </c>
      <c r="K1147" s="421">
        <f>M1070+M1116</f>
        <v>507.22799999999995</v>
      </c>
      <c r="L1147" s="422"/>
      <c r="M1147" s="273"/>
    </row>
    <row r="1148" spans="1:13" ht="15" thickBot="1" x14ac:dyDescent="0.25">
      <c r="A1148" s="235"/>
      <c r="B1148" s="9"/>
      <c r="C1148" s="7"/>
      <c r="D1148" s="17"/>
      <c r="E1148" s="218"/>
      <c r="F1148" s="218"/>
      <c r="G1148" s="218"/>
      <c r="H1148" s="218"/>
      <c r="I1148" s="218"/>
      <c r="J1148" s="218"/>
      <c r="K1148" s="410">
        <f>M1116+M1070+J1102</f>
        <v>706.48799999999994</v>
      </c>
      <c r="L1148" s="411"/>
      <c r="M1148" s="273"/>
    </row>
    <row r="1149" spans="1:13" ht="15" thickBot="1" x14ac:dyDescent="0.25">
      <c r="A1149" s="235"/>
      <c r="B1149" s="9"/>
      <c r="C1149" s="7"/>
      <c r="D1149" s="17"/>
      <c r="E1149" s="218"/>
      <c r="F1149" s="218"/>
      <c r="G1149" s="218"/>
      <c r="H1149" s="218"/>
      <c r="I1149" s="218"/>
      <c r="J1149" s="218"/>
      <c r="K1149" s="299"/>
      <c r="L1149" s="299"/>
      <c r="M1149" s="273"/>
    </row>
    <row r="1150" spans="1:13" ht="15" thickBot="1" x14ac:dyDescent="0.25">
      <c r="A1150" s="235"/>
      <c r="B1150" s="9"/>
      <c r="C1150" s="7" t="s">
        <v>536</v>
      </c>
      <c r="D1150" s="408" t="s">
        <v>494</v>
      </c>
      <c r="E1150" s="409"/>
      <c r="F1150" s="218"/>
      <c r="G1150" s="218"/>
      <c r="H1150" s="218"/>
      <c r="I1150" s="218"/>
      <c r="J1150" s="218"/>
      <c r="K1150" s="299"/>
      <c r="L1150" s="299"/>
      <c r="M1150" s="36">
        <f>SUM(M1153:M1187)</f>
        <v>401.79999999999995</v>
      </c>
    </row>
    <row r="1151" spans="1:13" x14ac:dyDescent="0.2">
      <c r="A1151" s="235"/>
      <c r="B1151" s="9"/>
      <c r="C1151" s="7"/>
      <c r="D1151" s="17"/>
      <c r="E1151" s="218"/>
      <c r="F1151" s="218"/>
      <c r="G1151" s="218"/>
      <c r="H1151" s="218"/>
      <c r="I1151" s="218"/>
      <c r="J1151" s="218"/>
      <c r="K1151" s="299"/>
      <c r="L1151" s="299"/>
      <c r="M1151" s="273"/>
    </row>
    <row r="1152" spans="1:13" x14ac:dyDescent="0.2">
      <c r="A1152" s="235"/>
      <c r="B1152" s="9"/>
      <c r="C1152" s="7" t="s">
        <v>537</v>
      </c>
      <c r="D1152" s="17"/>
      <c r="E1152" s="218"/>
      <c r="F1152" s="218"/>
      <c r="G1152" s="139"/>
      <c r="H1152" s="218"/>
      <c r="I1152" s="218"/>
      <c r="J1152" s="218"/>
      <c r="K1152" s="299"/>
      <c r="L1152" s="299"/>
      <c r="M1152" s="273"/>
    </row>
    <row r="1153" spans="1:13" x14ac:dyDescent="0.2">
      <c r="A1153" s="235"/>
      <c r="B1153" s="9"/>
      <c r="C1153" s="7" t="s">
        <v>538</v>
      </c>
      <c r="D1153" s="17"/>
      <c r="E1153" s="218"/>
      <c r="F1153" s="218"/>
      <c r="G1153" s="218">
        <v>35.6</v>
      </c>
      <c r="H1153" s="218"/>
      <c r="I1153" s="218">
        <v>2.8</v>
      </c>
      <c r="J1153" s="218">
        <f>G1153*I1153</f>
        <v>99.679999999999993</v>
      </c>
      <c r="K1153" s="299"/>
      <c r="L1153" s="299"/>
      <c r="M1153" s="273"/>
    </row>
    <row r="1154" spans="1:13" x14ac:dyDescent="0.2">
      <c r="A1154" s="235"/>
      <c r="B1154" s="9"/>
      <c r="C1154" s="7" t="s">
        <v>539</v>
      </c>
      <c r="D1154" s="17"/>
      <c r="E1154" s="218"/>
      <c r="F1154" s="218"/>
      <c r="G1154" s="218">
        <v>-4</v>
      </c>
      <c r="H1154" s="218"/>
      <c r="I1154" s="218">
        <v>1.6</v>
      </c>
      <c r="J1154" s="218">
        <f>G1154*I1154</f>
        <v>-6.4</v>
      </c>
      <c r="K1154" s="299"/>
      <c r="L1154" s="299"/>
      <c r="M1154" s="273"/>
    </row>
    <row r="1155" spans="1:13" x14ac:dyDescent="0.2">
      <c r="A1155" s="235"/>
      <c r="B1155" s="9"/>
      <c r="C1155" s="7" t="s">
        <v>540</v>
      </c>
      <c r="D1155" s="17"/>
      <c r="E1155" s="218"/>
      <c r="F1155" s="218"/>
      <c r="G1155" s="218">
        <v>-1.6</v>
      </c>
      <c r="H1155" s="218"/>
      <c r="I1155" s="218">
        <v>2.1</v>
      </c>
      <c r="J1155" s="218">
        <f>G1155*I1155</f>
        <v>-3.3600000000000003</v>
      </c>
      <c r="K1155" s="299"/>
      <c r="L1155" s="299"/>
      <c r="M1155" s="273">
        <f>SUM(J1153:J1155)</f>
        <v>89.919999999999987</v>
      </c>
    </row>
    <row r="1156" spans="1:13" x14ac:dyDescent="0.2">
      <c r="A1156" s="235"/>
      <c r="B1156" s="9"/>
      <c r="C1156" s="7"/>
      <c r="D1156" s="17"/>
      <c r="E1156" s="218"/>
      <c r="F1156" s="218"/>
      <c r="G1156" s="218"/>
      <c r="H1156" s="218"/>
      <c r="I1156" s="218"/>
      <c r="J1156" s="218"/>
      <c r="K1156" s="299"/>
      <c r="L1156" s="299"/>
      <c r="M1156" s="273"/>
    </row>
    <row r="1157" spans="1:13" x14ac:dyDescent="0.2">
      <c r="A1157" s="235"/>
      <c r="B1157" s="9"/>
      <c r="C1157" s="7" t="s">
        <v>541</v>
      </c>
      <c r="D1157" s="17"/>
      <c r="E1157" s="218"/>
      <c r="F1157" s="218"/>
      <c r="G1157" s="218"/>
      <c r="H1157" s="218"/>
      <c r="I1157" s="218"/>
      <c r="J1157" s="218"/>
      <c r="K1157" s="299"/>
      <c r="L1157" s="299"/>
      <c r="M1157" s="273"/>
    </row>
    <row r="1158" spans="1:13" x14ac:dyDescent="0.2">
      <c r="A1158" s="235"/>
      <c r="B1158" s="9"/>
      <c r="C1158" s="7" t="s">
        <v>542</v>
      </c>
      <c r="D1158" s="17"/>
      <c r="E1158" s="218"/>
      <c r="F1158" s="218"/>
      <c r="G1158" s="218">
        <v>33.9</v>
      </c>
      <c r="H1158" s="218"/>
      <c r="I1158" s="218">
        <v>2.8</v>
      </c>
      <c r="J1158" s="218">
        <f>I1158*G1158</f>
        <v>94.919999999999987</v>
      </c>
      <c r="K1158" s="299"/>
      <c r="L1158" s="299"/>
      <c r="M1158" s="273"/>
    </row>
    <row r="1159" spans="1:13" x14ac:dyDescent="0.2">
      <c r="A1159" s="235"/>
      <c r="B1159" s="9"/>
      <c r="C1159" s="7" t="s">
        <v>543</v>
      </c>
      <c r="D1159" s="17"/>
      <c r="E1159" s="218"/>
      <c r="F1159" s="218"/>
      <c r="G1159" s="218">
        <v>-1.6</v>
      </c>
      <c r="H1159" s="218"/>
      <c r="I1159" s="218">
        <v>2.1</v>
      </c>
      <c r="J1159" s="218">
        <f>I1159*G1159</f>
        <v>-3.3600000000000003</v>
      </c>
      <c r="K1159" s="299"/>
      <c r="L1159" s="299"/>
      <c r="M1159" s="273"/>
    </row>
    <row r="1160" spans="1:13" x14ac:dyDescent="0.2">
      <c r="A1160" s="235"/>
      <c r="B1160" s="9"/>
      <c r="C1160" s="7" t="s">
        <v>544</v>
      </c>
      <c r="D1160" s="17"/>
      <c r="E1160" s="218"/>
      <c r="F1160" s="218"/>
      <c r="G1160" s="218">
        <v>-5.2</v>
      </c>
      <c r="H1160" s="218"/>
      <c r="I1160" s="218">
        <v>2.1</v>
      </c>
      <c r="J1160" s="218">
        <f>I1160*G1160</f>
        <v>-10.920000000000002</v>
      </c>
      <c r="K1160" s="299"/>
      <c r="L1160" s="299"/>
      <c r="M1160" s="273"/>
    </row>
    <row r="1161" spans="1:13" x14ac:dyDescent="0.2">
      <c r="A1161" s="235"/>
      <c r="B1161" s="9"/>
      <c r="C1161" s="7" t="s">
        <v>545</v>
      </c>
      <c r="D1161" s="17"/>
      <c r="E1161" s="218"/>
      <c r="F1161" s="218"/>
      <c r="G1161" s="218">
        <v>-1</v>
      </c>
      <c r="H1161" s="218"/>
      <c r="I1161" s="218">
        <v>0.5</v>
      </c>
      <c r="J1161" s="218">
        <f>I1161*G1161</f>
        <v>-0.5</v>
      </c>
      <c r="K1161" s="34"/>
      <c r="L1161" s="35"/>
      <c r="M1161" s="273">
        <f>SUM(J1158:J1161)</f>
        <v>80.139999999999986</v>
      </c>
    </row>
    <row r="1162" spans="1:13" x14ac:dyDescent="0.2">
      <c r="A1162" s="235"/>
      <c r="B1162" s="9"/>
      <c r="C1162" s="7"/>
      <c r="D1162" s="17"/>
      <c r="E1162" s="218"/>
      <c r="F1162" s="218"/>
      <c r="G1162" s="218"/>
      <c r="H1162" s="218"/>
      <c r="I1162" s="218"/>
      <c r="J1162" s="218"/>
      <c r="K1162" s="34"/>
      <c r="L1162" s="35"/>
      <c r="M1162" s="273"/>
    </row>
    <row r="1163" spans="1:13" x14ac:dyDescent="0.2">
      <c r="A1163" s="235"/>
      <c r="B1163" s="9"/>
      <c r="C1163" s="7" t="s">
        <v>546</v>
      </c>
      <c r="D1163" s="17"/>
      <c r="E1163" s="218"/>
      <c r="F1163" s="218"/>
      <c r="G1163" s="218"/>
      <c r="H1163" s="218"/>
      <c r="I1163" s="218"/>
      <c r="J1163" s="218"/>
      <c r="K1163" s="34"/>
      <c r="L1163" s="35"/>
      <c r="M1163" s="273"/>
    </row>
    <row r="1164" spans="1:13" x14ac:dyDescent="0.2">
      <c r="A1164" s="235"/>
      <c r="B1164" s="9"/>
      <c r="C1164" s="7" t="s">
        <v>547</v>
      </c>
      <c r="D1164" s="17"/>
      <c r="E1164" s="218"/>
      <c r="F1164" s="218"/>
      <c r="G1164" s="218">
        <v>30.3</v>
      </c>
      <c r="H1164" s="218"/>
      <c r="I1164" s="218">
        <v>2.8</v>
      </c>
      <c r="J1164" s="218">
        <f>G1164*I1164</f>
        <v>84.84</v>
      </c>
      <c r="K1164" s="34"/>
      <c r="L1164" s="35"/>
      <c r="M1164" s="273"/>
    </row>
    <row r="1165" spans="1:13" x14ac:dyDescent="0.2">
      <c r="A1165" s="235"/>
      <c r="B1165" s="9"/>
      <c r="C1165" s="7" t="s">
        <v>544</v>
      </c>
      <c r="D1165" s="17"/>
      <c r="E1165" s="218"/>
      <c r="F1165" s="218"/>
      <c r="G1165" s="218">
        <v>-5.2</v>
      </c>
      <c r="H1165" s="218"/>
      <c r="I1165" s="218">
        <v>2.1</v>
      </c>
      <c r="J1165" s="218">
        <f>G1165*I1165</f>
        <v>-10.920000000000002</v>
      </c>
      <c r="K1165" s="34"/>
      <c r="L1165" s="35"/>
      <c r="M1165" s="273"/>
    </row>
    <row r="1166" spans="1:13" x14ac:dyDescent="0.2">
      <c r="A1166" s="235"/>
      <c r="B1166" s="9"/>
      <c r="C1166" s="7" t="s">
        <v>548</v>
      </c>
      <c r="D1166" s="17"/>
      <c r="E1166" s="218"/>
      <c r="F1166" s="218"/>
      <c r="G1166" s="218">
        <v>-3.7</v>
      </c>
      <c r="H1166" s="218"/>
      <c r="I1166" s="218">
        <v>2.6</v>
      </c>
      <c r="J1166" s="218">
        <f>G1166*I1166</f>
        <v>-9.620000000000001</v>
      </c>
      <c r="K1166" s="34"/>
      <c r="L1166" s="35"/>
      <c r="M1166" s="273">
        <f>SUM(J1164:J1166)</f>
        <v>64.3</v>
      </c>
    </row>
    <row r="1167" spans="1:13" x14ac:dyDescent="0.2">
      <c r="A1167" s="235"/>
      <c r="B1167" s="9"/>
      <c r="C1167" s="7"/>
      <c r="D1167" s="17"/>
      <c r="E1167" s="218"/>
      <c r="F1167" s="218"/>
      <c r="G1167" s="218"/>
      <c r="H1167" s="218"/>
      <c r="I1167" s="218"/>
      <c r="J1167" s="218"/>
      <c r="K1167" s="34"/>
      <c r="L1167" s="35"/>
      <c r="M1167" s="273"/>
    </row>
    <row r="1168" spans="1:13" x14ac:dyDescent="0.2">
      <c r="A1168" s="235"/>
      <c r="B1168" s="9"/>
      <c r="C1168" s="7" t="s">
        <v>486</v>
      </c>
      <c r="D1168" s="17"/>
      <c r="E1168" s="218"/>
      <c r="F1168" s="218"/>
      <c r="G1168" s="218"/>
      <c r="H1168" s="218"/>
      <c r="I1168" s="218"/>
      <c r="J1168" s="218"/>
      <c r="K1168" s="34"/>
      <c r="L1168" s="35"/>
      <c r="M1168" s="273"/>
    </row>
    <row r="1169" spans="1:13" x14ac:dyDescent="0.2">
      <c r="A1169" s="235"/>
      <c r="B1169" s="9"/>
      <c r="C1169" s="7" t="s">
        <v>549</v>
      </c>
      <c r="D1169" s="17"/>
      <c r="E1169" s="218"/>
      <c r="F1169" s="218"/>
      <c r="G1169" s="218">
        <v>25.2</v>
      </c>
      <c r="H1169" s="218"/>
      <c r="I1169" s="218">
        <v>2.8</v>
      </c>
      <c r="J1169" s="218">
        <f>G1169*I1169</f>
        <v>70.559999999999988</v>
      </c>
      <c r="K1169" s="34"/>
      <c r="L1169" s="35"/>
      <c r="M1169" s="273"/>
    </row>
    <row r="1170" spans="1:13" x14ac:dyDescent="0.2">
      <c r="A1170" s="235"/>
      <c r="B1170" s="9"/>
      <c r="C1170" s="7" t="s">
        <v>550</v>
      </c>
      <c r="D1170" s="17"/>
      <c r="E1170" s="218"/>
      <c r="F1170" s="218"/>
      <c r="G1170" s="218"/>
      <c r="H1170" s="218"/>
      <c r="I1170" s="218"/>
      <c r="J1170" s="218">
        <v>-9.6199999999999992</v>
      </c>
      <c r="K1170" s="34"/>
      <c r="L1170" s="35"/>
      <c r="M1170" s="273"/>
    </row>
    <row r="1171" spans="1:13" x14ac:dyDescent="0.2">
      <c r="A1171" s="235"/>
      <c r="B1171" s="9"/>
      <c r="C1171" s="7" t="s">
        <v>551</v>
      </c>
      <c r="D1171" s="17"/>
      <c r="E1171" s="218"/>
      <c r="F1171" s="218"/>
      <c r="G1171" s="218">
        <v>3.2</v>
      </c>
      <c r="H1171" s="218"/>
      <c r="I1171" s="218">
        <v>2.1</v>
      </c>
      <c r="J1171" s="218">
        <f>G1171*I1171</f>
        <v>6.7200000000000006</v>
      </c>
      <c r="K1171" s="34"/>
      <c r="L1171" s="35"/>
      <c r="M1171" s="273">
        <f>SUM(J1169:J1171)</f>
        <v>67.66</v>
      </c>
    </row>
    <row r="1172" spans="1:13" x14ac:dyDescent="0.2">
      <c r="A1172" s="235"/>
      <c r="B1172" s="9"/>
      <c r="C1172" s="7"/>
      <c r="D1172" s="17"/>
      <c r="E1172" s="218"/>
      <c r="F1172" s="218"/>
      <c r="G1172" s="218"/>
      <c r="H1172" s="218"/>
      <c r="I1172" s="218"/>
      <c r="J1172" s="218"/>
      <c r="K1172" s="34"/>
      <c r="L1172" s="35"/>
      <c r="M1172" s="273"/>
    </row>
    <row r="1173" spans="1:13" x14ac:dyDescent="0.2">
      <c r="A1173" s="235"/>
      <c r="B1173" s="9"/>
      <c r="C1173" s="7" t="s">
        <v>552</v>
      </c>
      <c r="D1173" s="17"/>
      <c r="E1173" s="218"/>
      <c r="F1173" s="218"/>
      <c r="G1173" s="218"/>
      <c r="H1173" s="218"/>
      <c r="I1173" s="218"/>
      <c r="J1173" s="218"/>
      <c r="K1173" s="34"/>
      <c r="L1173" s="35"/>
      <c r="M1173" s="273"/>
    </row>
    <row r="1174" spans="1:13" x14ac:dyDescent="0.2">
      <c r="A1174" s="235"/>
      <c r="B1174" s="9"/>
      <c r="C1174" s="7" t="s">
        <v>553</v>
      </c>
      <c r="D1174" s="17"/>
      <c r="E1174" s="218"/>
      <c r="F1174" s="218"/>
      <c r="G1174" s="218">
        <v>18.3</v>
      </c>
      <c r="H1174" s="218"/>
      <c r="I1174" s="218">
        <v>2.8</v>
      </c>
      <c r="J1174" s="218">
        <f>G1174*I1174</f>
        <v>51.24</v>
      </c>
      <c r="K1174" s="34"/>
      <c r="L1174" s="35"/>
      <c r="M1174" s="273"/>
    </row>
    <row r="1175" spans="1:13" x14ac:dyDescent="0.2">
      <c r="A1175" s="235"/>
      <c r="B1175" s="9"/>
      <c r="C1175" s="7" t="s">
        <v>554</v>
      </c>
      <c r="D1175" s="17"/>
      <c r="E1175" s="218"/>
      <c r="F1175" s="218"/>
      <c r="G1175" s="218">
        <v>-0.8</v>
      </c>
      <c r="H1175" s="218"/>
      <c r="I1175" s="218">
        <v>2.1</v>
      </c>
      <c r="J1175" s="218">
        <f>G1175*I1175</f>
        <v>-1.6800000000000002</v>
      </c>
      <c r="K1175" s="34"/>
      <c r="L1175" s="35"/>
      <c r="M1175" s="273"/>
    </row>
    <row r="1176" spans="1:13" x14ac:dyDescent="0.2">
      <c r="A1176" s="235"/>
      <c r="B1176" s="9"/>
      <c r="C1176" s="7" t="s">
        <v>555</v>
      </c>
      <c r="D1176" s="17"/>
      <c r="E1176" s="218"/>
      <c r="F1176" s="218"/>
      <c r="G1176" s="218">
        <v>-0.6</v>
      </c>
      <c r="H1176" s="218"/>
      <c r="I1176" s="218">
        <v>2.1</v>
      </c>
      <c r="J1176" s="218">
        <f>G1176*I1176</f>
        <v>-1.26</v>
      </c>
      <c r="K1176" s="34"/>
      <c r="L1176" s="35"/>
      <c r="M1176" s="273"/>
    </row>
    <row r="1177" spans="1:13" x14ac:dyDescent="0.2">
      <c r="A1177" s="235"/>
      <c r="B1177" s="9"/>
      <c r="C1177" s="7" t="s">
        <v>556</v>
      </c>
      <c r="D1177" s="17"/>
      <c r="E1177" s="218"/>
      <c r="F1177" s="218"/>
      <c r="G1177" s="218">
        <v>-6.9</v>
      </c>
      <c r="H1177" s="218"/>
      <c r="I1177" s="218">
        <v>1.6</v>
      </c>
      <c r="J1177" s="218">
        <f>G1177*I1177</f>
        <v>-11.040000000000001</v>
      </c>
      <c r="K1177" s="34"/>
      <c r="L1177" s="35"/>
      <c r="M1177" s="273">
        <f>SUM(J1174:J1177)</f>
        <v>37.260000000000005</v>
      </c>
    </row>
    <row r="1178" spans="1:13" x14ac:dyDescent="0.2">
      <c r="A1178" s="235"/>
      <c r="B1178" s="9"/>
      <c r="C1178" s="7"/>
      <c r="D1178" s="17"/>
      <c r="E1178" s="218"/>
      <c r="F1178" s="218"/>
      <c r="G1178" s="218"/>
      <c r="H1178" s="218"/>
      <c r="I1178" s="218"/>
      <c r="J1178" s="218"/>
      <c r="K1178" s="34"/>
      <c r="L1178" s="35"/>
      <c r="M1178" s="273"/>
    </row>
    <row r="1179" spans="1:13" x14ac:dyDescent="0.2">
      <c r="A1179" s="235"/>
      <c r="B1179" s="9"/>
      <c r="C1179" s="7" t="s">
        <v>557</v>
      </c>
      <c r="D1179" s="17"/>
      <c r="E1179" s="218"/>
      <c r="F1179" s="218"/>
      <c r="G1179" s="218"/>
      <c r="H1179" s="218"/>
      <c r="I1179" s="218"/>
      <c r="J1179" s="218"/>
      <c r="K1179" s="34"/>
      <c r="L1179" s="35"/>
      <c r="M1179" s="273"/>
    </row>
    <row r="1180" spans="1:13" x14ac:dyDescent="0.2">
      <c r="A1180" s="235"/>
      <c r="B1180" s="9"/>
      <c r="C1180" s="7" t="s">
        <v>558</v>
      </c>
      <c r="D1180" s="17"/>
      <c r="E1180" s="218"/>
      <c r="F1180" s="218"/>
      <c r="G1180" s="218">
        <v>11.9</v>
      </c>
      <c r="H1180" s="218"/>
      <c r="I1180" s="218">
        <v>2.8</v>
      </c>
      <c r="J1180" s="218">
        <f>G1180*I1180</f>
        <v>33.32</v>
      </c>
      <c r="K1180" s="34"/>
      <c r="L1180" s="35"/>
      <c r="M1180" s="273"/>
    </row>
    <row r="1181" spans="1:13" x14ac:dyDescent="0.2">
      <c r="A1181" s="235"/>
      <c r="B1181" s="9"/>
      <c r="C1181" s="7" t="s">
        <v>559</v>
      </c>
      <c r="D1181" s="17"/>
      <c r="E1181" s="218"/>
      <c r="F1181" s="218"/>
      <c r="G1181" s="218">
        <v>-2</v>
      </c>
      <c r="H1181" s="218"/>
      <c r="I1181" s="218">
        <v>1.6</v>
      </c>
      <c r="J1181" s="218">
        <f>G1181*I1181</f>
        <v>-3.2</v>
      </c>
      <c r="K1181" s="34"/>
      <c r="L1181" s="35"/>
      <c r="M1181" s="273"/>
    </row>
    <row r="1182" spans="1:13" x14ac:dyDescent="0.2">
      <c r="A1182" s="235"/>
      <c r="B1182" s="9"/>
      <c r="C1182" s="7" t="s">
        <v>560</v>
      </c>
      <c r="D1182" s="17"/>
      <c r="E1182" s="218"/>
      <c r="F1182" s="218"/>
      <c r="G1182" s="218">
        <v>-0.8</v>
      </c>
      <c r="H1182" s="218"/>
      <c r="I1182" s="218">
        <v>2.1</v>
      </c>
      <c r="J1182" s="218">
        <f>G1182*I1182</f>
        <v>-1.6800000000000002</v>
      </c>
      <c r="K1182" s="34"/>
      <c r="L1182" s="35"/>
      <c r="M1182" s="273">
        <f>SUM(J1180:J1182)</f>
        <v>28.44</v>
      </c>
    </row>
    <row r="1183" spans="1:13" x14ac:dyDescent="0.2">
      <c r="A1183" s="235"/>
      <c r="B1183" s="9"/>
      <c r="C1183" s="7"/>
      <c r="D1183" s="17"/>
      <c r="E1183" s="218"/>
      <c r="F1183" s="218"/>
      <c r="G1183" s="218"/>
      <c r="H1183" s="218"/>
      <c r="I1183" s="218"/>
      <c r="J1183" s="218"/>
      <c r="K1183" s="34"/>
      <c r="L1183" s="35"/>
      <c r="M1183" s="273"/>
    </row>
    <row r="1184" spans="1:13" x14ac:dyDescent="0.2">
      <c r="A1184" s="235"/>
      <c r="B1184" s="9"/>
      <c r="C1184" s="7" t="s">
        <v>561</v>
      </c>
      <c r="D1184" s="17"/>
      <c r="E1184" s="218"/>
      <c r="F1184" s="218"/>
      <c r="G1184" s="218"/>
      <c r="H1184" s="218"/>
      <c r="I1184" s="218"/>
      <c r="J1184" s="218"/>
      <c r="K1184" s="34"/>
      <c r="L1184" s="35"/>
      <c r="M1184" s="273"/>
    </row>
    <row r="1185" spans="1:13" x14ac:dyDescent="0.2">
      <c r="A1185" s="235"/>
      <c r="B1185" s="9"/>
      <c r="C1185" s="7" t="s">
        <v>562</v>
      </c>
      <c r="D1185" s="17"/>
      <c r="E1185" s="218"/>
      <c r="F1185" s="218"/>
      <c r="G1185" s="218">
        <v>15</v>
      </c>
      <c r="H1185" s="218"/>
      <c r="I1185" s="218">
        <v>2.8</v>
      </c>
      <c r="J1185" s="218">
        <f>G1185*I1185</f>
        <v>42</v>
      </c>
      <c r="K1185" s="34"/>
      <c r="L1185" s="35"/>
      <c r="M1185" s="273"/>
    </row>
    <row r="1186" spans="1:13" x14ac:dyDescent="0.2">
      <c r="A1186" s="235"/>
      <c r="B1186" s="9"/>
      <c r="C1186" s="7" t="s">
        <v>563</v>
      </c>
      <c r="D1186" s="17"/>
      <c r="E1186" s="218"/>
      <c r="F1186" s="218"/>
      <c r="G1186" s="218">
        <v>-3.9</v>
      </c>
      <c r="H1186" s="218"/>
      <c r="I1186" s="218">
        <v>1.6</v>
      </c>
      <c r="J1186" s="218">
        <f>G1186*I1186</f>
        <v>-6.24</v>
      </c>
      <c r="K1186" s="34"/>
      <c r="L1186" s="35"/>
      <c r="M1186" s="273"/>
    </row>
    <row r="1187" spans="1:13" x14ac:dyDescent="0.2">
      <c r="A1187" s="235"/>
      <c r="B1187" s="9"/>
      <c r="C1187" s="7" t="s">
        <v>564</v>
      </c>
      <c r="D1187" s="17"/>
      <c r="E1187" s="218"/>
      <c r="F1187" s="218"/>
      <c r="G1187" s="218">
        <v>-0.8</v>
      </c>
      <c r="H1187" s="218"/>
      <c r="I1187" s="218">
        <v>2.1</v>
      </c>
      <c r="J1187" s="218">
        <f>G1187*I1187</f>
        <v>-1.6800000000000002</v>
      </c>
      <c r="K1187" s="34"/>
      <c r="L1187" s="35"/>
      <c r="M1187" s="273">
        <f>SUM(J1185:J1187)</f>
        <v>34.08</v>
      </c>
    </row>
    <row r="1188" spans="1:13" x14ac:dyDescent="0.2">
      <c r="A1188" s="235"/>
      <c r="B1188" s="9"/>
      <c r="C1188" s="7"/>
      <c r="D1188" s="212"/>
      <c r="E1188" s="37"/>
      <c r="F1188" s="218"/>
      <c r="G1188" s="218"/>
      <c r="H1188" s="218"/>
      <c r="I1188" s="218"/>
      <c r="J1188" s="218"/>
      <c r="K1188" s="34"/>
      <c r="L1188" s="35"/>
      <c r="M1188" s="273"/>
    </row>
    <row r="1189" spans="1:13" x14ac:dyDescent="0.2">
      <c r="A1189" s="315"/>
      <c r="B1189" s="327"/>
      <c r="C1189" s="328"/>
      <c r="D1189" s="357"/>
      <c r="E1189" s="358"/>
      <c r="F1189" s="354"/>
      <c r="G1189" s="354"/>
      <c r="H1189" s="354"/>
      <c r="I1189" s="354"/>
      <c r="J1189" s="354"/>
      <c r="K1189" s="359"/>
      <c r="L1189" s="316"/>
      <c r="M1189" s="339"/>
    </row>
    <row r="1190" spans="1:13" ht="15" thickBot="1" x14ac:dyDescent="0.25">
      <c r="A1190" s="235"/>
      <c r="B1190" s="9"/>
      <c r="C1190" s="7"/>
      <c r="D1190" s="408" t="s">
        <v>495</v>
      </c>
      <c r="E1190" s="409"/>
      <c r="F1190" s="218"/>
      <c r="G1190" s="218"/>
      <c r="H1190" s="218"/>
      <c r="I1190" s="216"/>
      <c r="J1190" s="356">
        <f>SUM(J1192:J1202)</f>
        <v>200.45999999999998</v>
      </c>
      <c r="K1190" s="298"/>
      <c r="L1190" s="35"/>
      <c r="M1190" s="273"/>
    </row>
    <row r="1191" spans="1:13" x14ac:dyDescent="0.2">
      <c r="A1191" s="235"/>
      <c r="B1191" s="9"/>
      <c r="C1191" s="7"/>
      <c r="D1191" s="212"/>
      <c r="E1191" s="213"/>
      <c r="F1191" s="218"/>
      <c r="G1191" s="218"/>
      <c r="H1191" s="218"/>
      <c r="I1191" s="300"/>
      <c r="J1191" s="218"/>
      <c r="K1191" s="34"/>
      <c r="L1191" s="35"/>
      <c r="M1191" s="273"/>
    </row>
    <row r="1192" spans="1:13" x14ac:dyDescent="0.2">
      <c r="A1192" s="235"/>
      <c r="B1192" s="9"/>
      <c r="C1192" s="7" t="s">
        <v>565</v>
      </c>
      <c r="D1192" s="17"/>
      <c r="E1192" s="218"/>
      <c r="F1192" s="218"/>
      <c r="G1192" s="218"/>
      <c r="H1192" s="218"/>
      <c r="I1192" s="139"/>
      <c r="J1192" s="218">
        <v>57.07</v>
      </c>
      <c r="K1192" s="34"/>
      <c r="L1192" s="35"/>
      <c r="M1192" s="273"/>
    </row>
    <row r="1193" spans="1:13" x14ac:dyDescent="0.2">
      <c r="A1193" s="235"/>
      <c r="B1193" s="9"/>
      <c r="C1193" s="7"/>
      <c r="D1193" s="17"/>
      <c r="E1193" s="218"/>
      <c r="F1193" s="218"/>
      <c r="G1193" s="218"/>
      <c r="H1193" s="218"/>
      <c r="I1193" s="139"/>
      <c r="J1193" s="218"/>
      <c r="K1193" s="34"/>
      <c r="L1193" s="35"/>
      <c r="M1193" s="273"/>
    </row>
    <row r="1194" spans="1:13" x14ac:dyDescent="0.2">
      <c r="A1194" s="235"/>
      <c r="B1194" s="9"/>
      <c r="C1194" s="7" t="s">
        <v>566</v>
      </c>
      <c r="D1194" s="17"/>
      <c r="E1194" s="218"/>
      <c r="F1194" s="218"/>
      <c r="G1194" s="218"/>
      <c r="H1194" s="218"/>
      <c r="I1194" s="139"/>
      <c r="J1194" s="218"/>
      <c r="K1194" s="34"/>
      <c r="L1194" s="35"/>
      <c r="M1194" s="273"/>
    </row>
    <row r="1195" spans="1:13" x14ac:dyDescent="0.2">
      <c r="A1195" s="235"/>
      <c r="B1195" s="9"/>
      <c r="C1195" s="7" t="s">
        <v>567</v>
      </c>
      <c r="D1195" s="17"/>
      <c r="E1195" s="218"/>
      <c r="F1195" s="218"/>
      <c r="G1195" s="218"/>
      <c r="H1195" s="218"/>
      <c r="I1195" s="139"/>
      <c r="J1195" s="218">
        <v>123.52</v>
      </c>
      <c r="K1195" s="34"/>
      <c r="L1195" s="35"/>
      <c r="M1195" s="273"/>
    </row>
    <row r="1196" spans="1:13" x14ac:dyDescent="0.2">
      <c r="A1196" s="235"/>
      <c r="B1196" s="9"/>
      <c r="C1196" s="7" t="s">
        <v>568</v>
      </c>
      <c r="D1196" s="17"/>
      <c r="E1196" s="218"/>
      <c r="F1196" s="218"/>
      <c r="G1196" s="218"/>
      <c r="H1196" s="218"/>
      <c r="I1196" s="139"/>
      <c r="J1196" s="218">
        <v>-36.9</v>
      </c>
      <c r="K1196" s="34"/>
      <c r="L1196" s="35"/>
      <c r="M1196" s="273">
        <f>SUM(J1195:J1196)</f>
        <v>86.62</v>
      </c>
    </row>
    <row r="1197" spans="1:13" x14ac:dyDescent="0.2">
      <c r="A1197" s="235"/>
      <c r="B1197" s="9"/>
      <c r="C1197" s="7"/>
      <c r="D1197" s="17"/>
      <c r="E1197" s="218"/>
      <c r="F1197" s="218"/>
      <c r="G1197" s="218"/>
      <c r="H1197" s="218"/>
      <c r="I1197" s="139"/>
      <c r="J1197" s="218"/>
      <c r="K1197" s="34"/>
      <c r="L1197" s="35"/>
      <c r="M1197" s="273"/>
    </row>
    <row r="1198" spans="1:13" x14ac:dyDescent="0.2">
      <c r="A1198" s="235"/>
      <c r="B1198" s="9"/>
      <c r="C1198" s="7" t="s">
        <v>569</v>
      </c>
      <c r="D1198" s="17"/>
      <c r="E1198" s="218"/>
      <c r="F1198" s="218"/>
      <c r="G1198" s="218"/>
      <c r="H1198" s="218"/>
      <c r="I1198" s="139"/>
      <c r="J1198" s="218"/>
      <c r="K1198" s="34"/>
      <c r="L1198" s="35"/>
      <c r="M1198" s="273"/>
    </row>
    <row r="1199" spans="1:13" x14ac:dyDescent="0.2">
      <c r="A1199" s="235"/>
      <c r="B1199" s="9"/>
      <c r="C1199" s="7" t="s">
        <v>571</v>
      </c>
      <c r="D1199" s="17"/>
      <c r="E1199" s="218"/>
      <c r="F1199" s="218"/>
      <c r="G1199" s="218"/>
      <c r="H1199" s="218"/>
      <c r="I1199" s="139"/>
      <c r="J1199" s="218">
        <v>21.36</v>
      </c>
      <c r="K1199" s="34"/>
      <c r="L1199" s="35"/>
      <c r="M1199" s="273"/>
    </row>
    <row r="1200" spans="1:13" x14ac:dyDescent="0.2">
      <c r="A1200" s="235"/>
      <c r="B1200" s="9"/>
      <c r="C1200" s="7" t="s">
        <v>570</v>
      </c>
      <c r="D1200" s="17"/>
      <c r="E1200" s="218"/>
      <c r="F1200" s="218"/>
      <c r="G1200" s="218"/>
      <c r="H1200" s="218"/>
      <c r="I1200" s="139"/>
      <c r="J1200" s="218">
        <v>12.7</v>
      </c>
      <c r="K1200" s="34"/>
      <c r="L1200" s="35"/>
      <c r="M1200" s="273"/>
    </row>
    <row r="1201" spans="1:13" x14ac:dyDescent="0.2">
      <c r="A1201" s="235"/>
      <c r="B1201" s="9"/>
      <c r="C1201" s="7" t="s">
        <v>572</v>
      </c>
      <c r="D1201" s="17"/>
      <c r="E1201" s="218"/>
      <c r="F1201" s="218"/>
      <c r="G1201" s="218"/>
      <c r="H1201" s="218"/>
      <c r="I1201" s="139"/>
      <c r="J1201" s="218">
        <v>7.89</v>
      </c>
      <c r="K1201" s="34"/>
      <c r="L1201" s="35"/>
      <c r="M1201" s="273"/>
    </row>
    <row r="1202" spans="1:13" x14ac:dyDescent="0.2">
      <c r="A1202" s="235"/>
      <c r="B1202" s="9"/>
      <c r="C1202" s="7" t="s">
        <v>573</v>
      </c>
      <c r="D1202" s="17"/>
      <c r="E1202" s="218"/>
      <c r="F1202" s="218"/>
      <c r="G1202" s="218"/>
      <c r="H1202" s="218"/>
      <c r="I1202" s="139"/>
      <c r="J1202" s="218">
        <v>14.82</v>
      </c>
      <c r="K1202" s="34"/>
      <c r="L1202" s="35"/>
      <c r="M1202" s="273"/>
    </row>
    <row r="1203" spans="1:13" ht="15" customHeight="1" x14ac:dyDescent="0.2">
      <c r="A1203" s="235"/>
      <c r="B1203" s="9"/>
      <c r="C1203" s="7"/>
      <c r="D1203" s="17"/>
      <c r="E1203" s="218"/>
      <c r="F1203" s="218"/>
      <c r="G1203" s="139"/>
      <c r="H1203" s="139"/>
      <c r="I1203" s="139"/>
      <c r="J1203" s="139"/>
      <c r="K1203" s="34"/>
      <c r="L1203" s="35"/>
      <c r="M1203" s="273"/>
    </row>
    <row r="1204" spans="1:13" ht="15" customHeight="1" x14ac:dyDescent="0.2">
      <c r="A1204" s="235"/>
      <c r="B1204" s="9"/>
      <c r="C1204" s="7"/>
      <c r="D1204" s="17"/>
      <c r="E1204" s="218"/>
      <c r="F1204" s="218"/>
      <c r="G1204" s="139"/>
      <c r="H1204" s="139"/>
      <c r="I1204" s="139"/>
      <c r="J1204" s="139"/>
      <c r="K1204" s="34"/>
      <c r="L1204" s="35"/>
      <c r="M1204" s="273"/>
    </row>
    <row r="1205" spans="1:13" x14ac:dyDescent="0.2">
      <c r="A1205" s="235"/>
      <c r="B1205" s="9"/>
      <c r="C1205" s="7"/>
      <c r="D1205" s="17"/>
      <c r="E1205" s="218"/>
      <c r="F1205" s="218"/>
      <c r="G1205" s="414" t="s">
        <v>574</v>
      </c>
      <c r="H1205" s="412" t="s">
        <v>533</v>
      </c>
      <c r="I1205" s="413"/>
      <c r="J1205" s="301">
        <v>200.46</v>
      </c>
      <c r="K1205" s="34"/>
      <c r="L1205" s="35"/>
      <c r="M1205" s="273"/>
    </row>
    <row r="1206" spans="1:13" x14ac:dyDescent="0.2">
      <c r="A1206" s="235"/>
      <c r="B1206" s="9"/>
      <c r="C1206" s="7"/>
      <c r="D1206" s="17"/>
      <c r="E1206" s="218"/>
      <c r="F1206" s="218"/>
      <c r="G1206" s="415"/>
      <c r="H1206" s="412" t="s">
        <v>534</v>
      </c>
      <c r="I1206" s="413"/>
      <c r="J1206" s="301">
        <f>M1150</f>
        <v>401.79999999999995</v>
      </c>
      <c r="K1206" s="34"/>
      <c r="L1206" s="35"/>
      <c r="M1206" s="273"/>
    </row>
    <row r="1207" spans="1:13" ht="12.75" customHeight="1" x14ac:dyDescent="0.2">
      <c r="A1207" s="235"/>
      <c r="B1207" s="9"/>
      <c r="C1207" s="7"/>
      <c r="D1207" s="17"/>
      <c r="E1207" s="218"/>
      <c r="F1207" s="218"/>
      <c r="G1207" s="218"/>
      <c r="H1207" s="216"/>
      <c r="I1207" s="37"/>
      <c r="J1207" s="302">
        <f>SUM(J1205:J1206)</f>
        <v>602.26</v>
      </c>
      <c r="K1207" s="34"/>
      <c r="L1207" s="35"/>
      <c r="M1207" s="273"/>
    </row>
    <row r="1208" spans="1:13" ht="12.75" customHeight="1" x14ac:dyDescent="0.2">
      <c r="A1208" s="235"/>
      <c r="B1208" s="9"/>
      <c r="C1208" s="7"/>
      <c r="D1208" s="17"/>
      <c r="E1208" s="218"/>
      <c r="F1208" s="218"/>
      <c r="G1208" s="414" t="s">
        <v>575</v>
      </c>
      <c r="H1208" s="412" t="s">
        <v>533</v>
      </c>
      <c r="I1208" s="413"/>
      <c r="J1208" s="302">
        <v>175.03</v>
      </c>
      <c r="K1208" s="34"/>
      <c r="L1208" s="35"/>
      <c r="M1208" s="273"/>
    </row>
    <row r="1209" spans="1:13" ht="12.75" customHeight="1" x14ac:dyDescent="0.2">
      <c r="A1209" s="235"/>
      <c r="B1209" s="9"/>
      <c r="C1209" s="7"/>
      <c r="D1209" s="17"/>
      <c r="E1209" s="218"/>
      <c r="F1209" s="218"/>
      <c r="G1209" s="415"/>
      <c r="H1209" s="412" t="s">
        <v>534</v>
      </c>
      <c r="I1209" s="413"/>
      <c r="J1209" s="302">
        <v>222.1</v>
      </c>
      <c r="K1209" s="34"/>
      <c r="L1209" s="35"/>
      <c r="M1209" s="273"/>
    </row>
    <row r="1210" spans="1:13" ht="12.75" customHeight="1" x14ac:dyDescent="0.2">
      <c r="A1210" s="235"/>
      <c r="B1210" s="9"/>
      <c r="C1210" s="7"/>
      <c r="D1210" s="17"/>
      <c r="E1210" s="218"/>
      <c r="F1210" s="218"/>
      <c r="G1210" s="414" t="s">
        <v>535</v>
      </c>
      <c r="H1210" s="412" t="s">
        <v>533</v>
      </c>
      <c r="I1210" s="413"/>
      <c r="J1210" s="302">
        <v>199.26</v>
      </c>
      <c r="K1210" s="34"/>
      <c r="L1210" s="35"/>
      <c r="M1210" s="273"/>
    </row>
    <row r="1211" spans="1:13" ht="12.75" customHeight="1" x14ac:dyDescent="0.2">
      <c r="A1211" s="235"/>
      <c r="B1211" s="9"/>
      <c r="C1211" s="7"/>
      <c r="D1211" s="17"/>
      <c r="E1211" s="218"/>
      <c r="F1211" s="218"/>
      <c r="G1211" s="415"/>
      <c r="H1211" s="412" t="s">
        <v>534</v>
      </c>
      <c r="I1211" s="413"/>
      <c r="J1211" s="302">
        <v>507.23</v>
      </c>
      <c r="K1211" s="34"/>
      <c r="L1211" s="35"/>
      <c r="M1211" s="273"/>
    </row>
    <row r="1212" spans="1:13" ht="12.75" customHeight="1" x14ac:dyDescent="0.2">
      <c r="A1212" s="235"/>
      <c r="B1212" s="9"/>
      <c r="C1212" s="7"/>
      <c r="D1212" s="17"/>
      <c r="E1212" s="218"/>
      <c r="F1212" s="218"/>
      <c r="G1212" s="414" t="s">
        <v>574</v>
      </c>
      <c r="H1212" s="412" t="s">
        <v>533</v>
      </c>
      <c r="I1212" s="413"/>
      <c r="J1212" s="301">
        <v>200.46</v>
      </c>
      <c r="K1212" s="34"/>
      <c r="L1212" s="35"/>
      <c r="M1212" s="273"/>
    </row>
    <row r="1213" spans="1:13" ht="12.75" customHeight="1" x14ac:dyDescent="0.2">
      <c r="A1213" s="235"/>
      <c r="B1213" s="9"/>
      <c r="C1213" s="7"/>
      <c r="D1213" s="17"/>
      <c r="E1213" s="218"/>
      <c r="F1213" s="218"/>
      <c r="G1213" s="423"/>
      <c r="H1213" s="424" t="s">
        <v>534</v>
      </c>
      <c r="I1213" s="425"/>
      <c r="J1213" s="301">
        <v>401.8</v>
      </c>
      <c r="K1213" s="34"/>
      <c r="L1213" s="35"/>
      <c r="M1213" s="273"/>
    </row>
    <row r="1214" spans="1:13" ht="12.75" customHeight="1" x14ac:dyDescent="0.2">
      <c r="A1214" s="235"/>
      <c r="B1214" s="9"/>
      <c r="C1214" s="7"/>
      <c r="D1214" s="17"/>
      <c r="E1214" s="218"/>
      <c r="F1214" s="218"/>
      <c r="G1214" s="416" t="s">
        <v>576</v>
      </c>
      <c r="H1214" s="416"/>
      <c r="I1214" s="416"/>
      <c r="J1214" s="40">
        <f>J1208+J1210+J1212</f>
        <v>574.75</v>
      </c>
      <c r="K1214" s="416">
        <f>J1214+J1215</f>
        <v>1705.88</v>
      </c>
      <c r="L1214" s="416"/>
      <c r="M1214" s="273"/>
    </row>
    <row r="1215" spans="1:13" x14ac:dyDescent="0.2">
      <c r="A1215" s="235"/>
      <c r="B1215" s="9"/>
      <c r="C1215" s="7"/>
      <c r="D1215" s="17"/>
      <c r="E1215" s="218"/>
      <c r="F1215" s="218"/>
      <c r="G1215" s="416" t="s">
        <v>577</v>
      </c>
      <c r="H1215" s="416"/>
      <c r="I1215" s="416"/>
      <c r="J1215" s="41">
        <f>J1209+J1211+J1213</f>
        <v>1131.1300000000001</v>
      </c>
      <c r="K1215" s="416"/>
      <c r="L1215" s="416"/>
      <c r="M1215" s="273"/>
    </row>
    <row r="1216" spans="1:13" x14ac:dyDescent="0.2">
      <c r="A1216" s="235"/>
      <c r="B1216" s="9"/>
      <c r="C1216" s="7"/>
      <c r="D1216" s="17"/>
      <c r="E1216" s="218"/>
      <c r="F1216" s="218"/>
      <c r="G1216" s="218"/>
      <c r="H1216" s="218"/>
      <c r="I1216" s="218"/>
      <c r="J1216" s="42"/>
      <c r="K1216" s="218"/>
      <c r="L1216" s="218"/>
      <c r="M1216" s="273"/>
    </row>
    <row r="1217" spans="1:13" ht="15" thickBot="1" x14ac:dyDescent="0.25">
      <c r="A1217" s="235"/>
      <c r="B1217" s="9"/>
      <c r="C1217" s="7"/>
      <c r="D1217" s="17"/>
      <c r="E1217" s="218"/>
      <c r="F1217" s="218"/>
      <c r="G1217" s="218"/>
      <c r="H1217" s="218"/>
      <c r="I1217" s="218"/>
      <c r="J1217" s="42"/>
      <c r="K1217" s="218"/>
      <c r="L1217" s="218"/>
      <c r="M1217" s="273"/>
    </row>
    <row r="1218" spans="1:13" ht="15" thickBot="1" x14ac:dyDescent="0.25">
      <c r="A1218" s="235"/>
      <c r="B1218" s="9"/>
      <c r="C1218" s="7" t="s">
        <v>578</v>
      </c>
      <c r="D1218" s="17"/>
      <c r="E1218" s="218"/>
      <c r="F1218" s="218"/>
      <c r="G1218" s="218"/>
      <c r="H1218" s="218"/>
      <c r="I1218" s="218"/>
      <c r="J1218" s="42"/>
      <c r="K1218" s="218"/>
      <c r="L1218" s="216"/>
      <c r="M1218" s="36">
        <f>SUM(M1223:M1271)</f>
        <v>86.68</v>
      </c>
    </row>
    <row r="1219" spans="1:13" x14ac:dyDescent="0.2">
      <c r="A1219" s="235"/>
      <c r="B1219" s="9"/>
      <c r="C1219" s="7"/>
      <c r="D1219" s="17"/>
      <c r="E1219" s="218"/>
      <c r="F1219" s="218"/>
      <c r="G1219" s="218"/>
      <c r="H1219" s="218"/>
      <c r="I1219" s="218"/>
      <c r="J1219" s="42"/>
      <c r="K1219" s="218"/>
      <c r="L1219" s="218"/>
      <c r="M1219" s="273"/>
    </row>
    <row r="1220" spans="1:13" x14ac:dyDescent="0.2">
      <c r="A1220" s="235"/>
      <c r="B1220" s="9"/>
      <c r="C1220" s="7" t="s">
        <v>579</v>
      </c>
      <c r="D1220" s="17"/>
      <c r="E1220" s="218"/>
      <c r="F1220" s="218"/>
      <c r="G1220" s="218"/>
      <c r="H1220" s="218"/>
      <c r="I1220" s="218"/>
      <c r="J1220" s="42"/>
      <c r="K1220" s="218"/>
      <c r="L1220" s="218"/>
      <c r="M1220" s="273"/>
    </row>
    <row r="1221" spans="1:13" x14ac:dyDescent="0.2">
      <c r="A1221" s="235"/>
      <c r="B1221" s="9"/>
      <c r="C1221" s="7" t="s">
        <v>580</v>
      </c>
      <c r="D1221" s="17"/>
      <c r="E1221" s="218"/>
      <c r="F1221" s="218"/>
      <c r="G1221" s="218">
        <v>7.2</v>
      </c>
      <c r="H1221" s="218"/>
      <c r="I1221" s="218">
        <v>1.6</v>
      </c>
      <c r="J1221" s="43">
        <f>G1221*I1221</f>
        <v>11.520000000000001</v>
      </c>
      <c r="K1221" s="218"/>
      <c r="L1221" s="218"/>
      <c r="M1221" s="273"/>
    </row>
    <row r="1222" spans="1:13" x14ac:dyDescent="0.2">
      <c r="A1222" s="235"/>
      <c r="B1222" s="9"/>
      <c r="C1222" s="7" t="s">
        <v>581</v>
      </c>
      <c r="D1222" s="17"/>
      <c r="E1222" s="218"/>
      <c r="F1222" s="218"/>
      <c r="G1222" s="218"/>
      <c r="H1222" s="218"/>
      <c r="I1222" s="218">
        <v>-0.42</v>
      </c>
      <c r="J1222" s="44">
        <v>-0.42</v>
      </c>
      <c r="K1222" s="218"/>
      <c r="L1222" s="218"/>
      <c r="M1222" s="273"/>
    </row>
    <row r="1223" spans="1:13" x14ac:dyDescent="0.2">
      <c r="A1223" s="235"/>
      <c r="B1223" s="9"/>
      <c r="C1223" s="7" t="s">
        <v>582</v>
      </c>
      <c r="D1223" s="17"/>
      <c r="E1223" s="218"/>
      <c r="F1223" s="218"/>
      <c r="G1223" s="218"/>
      <c r="H1223" s="218"/>
      <c r="I1223" s="218"/>
      <c r="J1223" s="42">
        <v>-0.72</v>
      </c>
      <c r="K1223" s="218"/>
      <c r="L1223" s="218"/>
      <c r="M1223" s="273">
        <f>SUM(J1221:J1223)</f>
        <v>10.38</v>
      </c>
    </row>
    <row r="1224" spans="1:13" x14ac:dyDescent="0.2">
      <c r="A1224" s="235"/>
      <c r="B1224" s="9"/>
      <c r="C1224" s="7"/>
      <c r="D1224" s="17"/>
      <c r="E1224" s="218"/>
      <c r="F1224" s="218"/>
      <c r="G1224" s="218"/>
      <c r="H1224" s="218"/>
      <c r="I1224" s="218"/>
      <c r="J1224" s="42"/>
      <c r="K1224" s="218"/>
      <c r="L1224" s="218"/>
      <c r="M1224" s="273"/>
    </row>
    <row r="1225" spans="1:13" x14ac:dyDescent="0.2">
      <c r="A1225" s="235"/>
      <c r="B1225" s="9"/>
      <c r="C1225" s="7" t="s">
        <v>533</v>
      </c>
      <c r="D1225" s="17"/>
      <c r="E1225" s="218"/>
      <c r="F1225" s="218">
        <v>2.2999999999999998</v>
      </c>
      <c r="G1225" s="218"/>
      <c r="H1225" s="218">
        <v>1.3</v>
      </c>
      <c r="I1225" s="218"/>
      <c r="J1225" s="42"/>
      <c r="K1225" s="218">
        <f>F1225*H1225</f>
        <v>2.9899999999999998</v>
      </c>
      <c r="L1225" s="218"/>
      <c r="M1225" s="273"/>
    </row>
    <row r="1226" spans="1:13" x14ac:dyDescent="0.2">
      <c r="A1226" s="235"/>
      <c r="B1226" s="9"/>
      <c r="C1226" s="7"/>
      <c r="D1226" s="17"/>
      <c r="E1226" s="218"/>
      <c r="F1226" s="218"/>
      <c r="G1226" s="218"/>
      <c r="H1226" s="218"/>
      <c r="I1226" s="218"/>
      <c r="J1226" s="42"/>
      <c r="K1226" s="218"/>
      <c r="L1226" s="218"/>
      <c r="M1226" s="273"/>
    </row>
    <row r="1227" spans="1:13" x14ac:dyDescent="0.2">
      <c r="A1227" s="235"/>
      <c r="B1227" s="9"/>
      <c r="C1227" s="7" t="s">
        <v>583</v>
      </c>
      <c r="D1227" s="17"/>
      <c r="E1227" s="218"/>
      <c r="F1227" s="218"/>
      <c r="G1227" s="218"/>
      <c r="H1227" s="218"/>
      <c r="I1227" s="218"/>
      <c r="J1227" s="42"/>
      <c r="K1227" s="218"/>
      <c r="L1227" s="218"/>
      <c r="M1227" s="273"/>
    </row>
    <row r="1228" spans="1:13" x14ac:dyDescent="0.2">
      <c r="A1228" s="235"/>
      <c r="B1228" s="9"/>
      <c r="C1228" s="7" t="s">
        <v>584</v>
      </c>
      <c r="D1228" s="17"/>
      <c r="E1228" s="218"/>
      <c r="F1228" s="218"/>
      <c r="G1228" s="218">
        <v>6.2</v>
      </c>
      <c r="H1228" s="218"/>
      <c r="I1228" s="218">
        <v>1</v>
      </c>
      <c r="J1228" s="43">
        <f>G1228*I1228</f>
        <v>6.2</v>
      </c>
      <c r="K1228" s="218"/>
      <c r="L1228" s="218"/>
      <c r="M1228" s="273"/>
    </row>
    <row r="1229" spans="1:13" x14ac:dyDescent="0.2">
      <c r="A1229" s="235"/>
      <c r="B1229" s="9"/>
      <c r="C1229" s="7" t="s">
        <v>585</v>
      </c>
      <c r="D1229" s="17"/>
      <c r="E1229" s="218"/>
      <c r="F1229" s="218"/>
      <c r="G1229" s="218">
        <v>0.6</v>
      </c>
      <c r="H1229" s="218"/>
      <c r="I1229" s="218">
        <v>-0.7</v>
      </c>
      <c r="J1229" s="43">
        <f>G1229*I1229</f>
        <v>-0.42</v>
      </c>
      <c r="K1229" s="218"/>
      <c r="L1229" s="218"/>
      <c r="M1229" s="273"/>
    </row>
    <row r="1230" spans="1:13" x14ac:dyDescent="0.2">
      <c r="A1230" s="235"/>
      <c r="B1230" s="9"/>
      <c r="C1230" s="7" t="s">
        <v>586</v>
      </c>
      <c r="D1230" s="17"/>
      <c r="E1230" s="218"/>
      <c r="F1230" s="218"/>
      <c r="G1230" s="218">
        <v>0.6</v>
      </c>
      <c r="H1230" s="218"/>
      <c r="I1230" s="218">
        <v>-0.6</v>
      </c>
      <c r="J1230" s="43">
        <f>G1230*I1230</f>
        <v>-0.36</v>
      </c>
      <c r="K1230" s="218"/>
      <c r="L1230" s="218"/>
      <c r="M1230" s="273">
        <f>SUM(J1228:J1230)</f>
        <v>5.42</v>
      </c>
    </row>
    <row r="1231" spans="1:13" x14ac:dyDescent="0.2">
      <c r="A1231" s="235"/>
      <c r="B1231" s="9"/>
      <c r="C1231" s="7"/>
      <c r="D1231" s="17"/>
      <c r="E1231" s="218"/>
      <c r="F1231" s="218"/>
      <c r="G1231" s="218"/>
      <c r="H1231" s="218"/>
      <c r="I1231" s="218"/>
      <c r="J1231" s="42"/>
      <c r="K1231" s="218"/>
      <c r="L1231" s="218"/>
      <c r="M1231" s="273"/>
    </row>
    <row r="1232" spans="1:13" x14ac:dyDescent="0.2">
      <c r="A1232" s="235"/>
      <c r="B1232" s="9"/>
      <c r="C1232" s="7" t="s">
        <v>533</v>
      </c>
      <c r="D1232" s="17"/>
      <c r="E1232" s="218"/>
      <c r="F1232" s="218">
        <v>1.9</v>
      </c>
      <c r="G1232" s="218"/>
      <c r="H1232" s="218">
        <v>1.2</v>
      </c>
      <c r="I1232" s="218"/>
      <c r="J1232" s="42"/>
      <c r="K1232" s="218">
        <f>F1232*H1232</f>
        <v>2.2799999999999998</v>
      </c>
      <c r="L1232" s="218"/>
      <c r="M1232" s="273"/>
    </row>
    <row r="1233" spans="1:13" x14ac:dyDescent="0.2">
      <c r="A1233" s="235"/>
      <c r="B1233" s="9"/>
      <c r="C1233" s="7"/>
      <c r="D1233" s="17"/>
      <c r="E1233" s="218"/>
      <c r="F1233" s="218"/>
      <c r="G1233" s="218"/>
      <c r="H1233" s="218"/>
      <c r="I1233" s="218"/>
      <c r="J1233" s="42"/>
      <c r="K1233" s="218"/>
      <c r="L1233" s="218"/>
      <c r="M1233" s="273"/>
    </row>
    <row r="1234" spans="1:13" x14ac:dyDescent="0.2">
      <c r="A1234" s="235"/>
      <c r="B1234" s="9"/>
      <c r="C1234" s="7" t="s">
        <v>587</v>
      </c>
      <c r="D1234" s="17"/>
      <c r="E1234" s="218"/>
      <c r="F1234" s="218"/>
      <c r="G1234" s="218"/>
      <c r="H1234" s="218"/>
      <c r="I1234" s="218"/>
      <c r="J1234" s="42"/>
      <c r="K1234" s="218"/>
      <c r="L1234" s="218"/>
      <c r="M1234" s="273"/>
    </row>
    <row r="1235" spans="1:13" x14ac:dyDescent="0.2">
      <c r="A1235" s="235"/>
      <c r="B1235" s="9"/>
      <c r="C1235" s="7" t="s">
        <v>588</v>
      </c>
      <c r="D1235" s="17"/>
      <c r="E1235" s="218"/>
      <c r="F1235" s="218"/>
      <c r="G1235" s="218">
        <v>7.02</v>
      </c>
      <c r="H1235" s="218"/>
      <c r="I1235" s="218">
        <v>1</v>
      </c>
      <c r="J1235" s="43">
        <f>G1235*I1235</f>
        <v>7.02</v>
      </c>
      <c r="K1235" s="218"/>
      <c r="L1235" s="218"/>
      <c r="M1235" s="273"/>
    </row>
    <row r="1236" spans="1:13" x14ac:dyDescent="0.2">
      <c r="A1236" s="235"/>
      <c r="B1236" s="9"/>
      <c r="C1236" s="7" t="s">
        <v>589</v>
      </c>
      <c r="D1236" s="17"/>
      <c r="E1236" s="218"/>
      <c r="F1236" s="218"/>
      <c r="G1236" s="218"/>
      <c r="H1236" s="218"/>
      <c r="I1236" s="218"/>
      <c r="J1236" s="43">
        <v>-0.7</v>
      </c>
      <c r="K1236" s="218"/>
      <c r="L1236" s="218"/>
      <c r="M1236" s="273"/>
    </row>
    <row r="1237" spans="1:13" x14ac:dyDescent="0.2">
      <c r="A1237" s="235"/>
      <c r="B1237" s="9"/>
      <c r="C1237" s="7" t="s">
        <v>590</v>
      </c>
      <c r="D1237" s="17"/>
      <c r="E1237" s="218"/>
      <c r="F1237" s="218"/>
      <c r="G1237" s="218"/>
      <c r="H1237" s="218"/>
      <c r="I1237" s="218"/>
      <c r="J1237" s="43">
        <v>-0.36</v>
      </c>
      <c r="K1237" s="218"/>
      <c r="L1237" s="218"/>
      <c r="M1237" s="273">
        <f>SUM(J1235:J1237)</f>
        <v>5.9599999999999991</v>
      </c>
    </row>
    <row r="1238" spans="1:13" x14ac:dyDescent="0.2">
      <c r="A1238" s="235"/>
      <c r="B1238" s="9"/>
      <c r="C1238" s="7"/>
      <c r="D1238" s="17"/>
      <c r="E1238" s="218"/>
      <c r="F1238" s="218"/>
      <c r="G1238" s="218"/>
      <c r="H1238" s="218"/>
      <c r="I1238" s="218"/>
      <c r="J1238" s="42"/>
      <c r="K1238" s="218"/>
      <c r="L1238" s="218"/>
      <c r="M1238" s="273"/>
    </row>
    <row r="1239" spans="1:13" x14ac:dyDescent="0.2">
      <c r="A1239" s="235"/>
      <c r="B1239" s="9"/>
      <c r="C1239" s="7" t="s">
        <v>533</v>
      </c>
      <c r="D1239" s="17"/>
      <c r="E1239" s="218"/>
      <c r="F1239" s="218">
        <v>1.98</v>
      </c>
      <c r="G1239" s="218"/>
      <c r="H1239" s="218">
        <v>1.53</v>
      </c>
      <c r="I1239" s="218"/>
      <c r="J1239" s="42"/>
      <c r="K1239" s="218">
        <f>F1239*H1239</f>
        <v>3.0293999999999999</v>
      </c>
      <c r="L1239" s="218"/>
      <c r="M1239" s="273"/>
    </row>
    <row r="1240" spans="1:13" x14ac:dyDescent="0.2">
      <c r="A1240" s="235"/>
      <c r="B1240" s="9"/>
      <c r="C1240" s="7"/>
      <c r="D1240" s="17"/>
      <c r="E1240" s="218"/>
      <c r="F1240" s="218"/>
      <c r="G1240" s="218"/>
      <c r="H1240" s="218"/>
      <c r="I1240" s="218"/>
      <c r="J1240" s="42"/>
      <c r="K1240" s="218"/>
      <c r="L1240" s="218"/>
      <c r="M1240" s="273"/>
    </row>
    <row r="1241" spans="1:13" x14ac:dyDescent="0.2">
      <c r="A1241" s="235"/>
      <c r="B1241" s="9"/>
      <c r="C1241" s="7" t="s">
        <v>591</v>
      </c>
      <c r="D1241" s="17"/>
      <c r="E1241" s="218"/>
      <c r="F1241" s="218"/>
      <c r="G1241" s="218"/>
      <c r="H1241" s="218"/>
      <c r="I1241" s="218"/>
      <c r="J1241" s="42"/>
      <c r="K1241" s="218"/>
      <c r="L1241" s="218"/>
      <c r="M1241" s="273"/>
    </row>
    <row r="1242" spans="1:13" x14ac:dyDescent="0.2">
      <c r="A1242" s="235"/>
      <c r="B1242" s="9"/>
      <c r="C1242" s="7" t="s">
        <v>594</v>
      </c>
      <c r="D1242" s="17"/>
      <c r="E1242" s="218"/>
      <c r="F1242" s="218"/>
      <c r="G1242" s="218">
        <v>5.05</v>
      </c>
      <c r="H1242" s="218"/>
      <c r="I1242" s="218">
        <v>1</v>
      </c>
      <c r="J1242" s="43">
        <f>G1242*I1242</f>
        <v>5.05</v>
      </c>
      <c r="K1242" s="218"/>
      <c r="L1242" s="218"/>
      <c r="M1242" s="273"/>
    </row>
    <row r="1243" spans="1:13" x14ac:dyDescent="0.2">
      <c r="A1243" s="235"/>
      <c r="B1243" s="9"/>
      <c r="C1243" s="7" t="s">
        <v>592</v>
      </c>
      <c r="D1243" s="17"/>
      <c r="E1243" s="218"/>
      <c r="F1243" s="218"/>
      <c r="G1243" s="218"/>
      <c r="H1243" s="218"/>
      <c r="I1243" s="218"/>
      <c r="J1243" s="43">
        <v>-0.42</v>
      </c>
      <c r="K1243" s="218"/>
      <c r="L1243" s="218"/>
      <c r="M1243" s="273"/>
    </row>
    <row r="1244" spans="1:13" x14ac:dyDescent="0.2">
      <c r="A1244" s="235"/>
      <c r="B1244" s="9"/>
      <c r="C1244" s="7" t="s">
        <v>593</v>
      </c>
      <c r="D1244" s="17"/>
      <c r="E1244" s="218"/>
      <c r="F1244" s="218"/>
      <c r="G1244" s="218"/>
      <c r="H1244" s="218"/>
      <c r="I1244" s="218"/>
      <c r="J1244" s="43">
        <v>-0.36</v>
      </c>
      <c r="K1244" s="218"/>
      <c r="L1244" s="218"/>
      <c r="M1244" s="273">
        <f>SUM(J1242:J1244)</f>
        <v>4.2699999999999996</v>
      </c>
    </row>
    <row r="1245" spans="1:13" x14ac:dyDescent="0.2">
      <c r="A1245" s="235"/>
      <c r="B1245" s="9"/>
      <c r="C1245" s="7"/>
      <c r="D1245" s="17"/>
      <c r="E1245" s="218"/>
      <c r="F1245" s="218"/>
      <c r="G1245" s="218"/>
      <c r="H1245" s="218"/>
      <c r="I1245" s="218"/>
      <c r="J1245" s="43"/>
      <c r="K1245" s="218"/>
      <c r="L1245" s="218"/>
      <c r="M1245" s="273"/>
    </row>
    <row r="1246" spans="1:13" x14ac:dyDescent="0.2">
      <c r="A1246" s="235"/>
      <c r="B1246" s="9"/>
      <c r="C1246" s="7" t="s">
        <v>533</v>
      </c>
      <c r="D1246" s="17"/>
      <c r="E1246" s="218"/>
      <c r="F1246" s="218">
        <v>1.4</v>
      </c>
      <c r="G1246" s="218"/>
      <c r="H1246" s="218">
        <v>1.1499999999999999</v>
      </c>
      <c r="I1246" s="218"/>
      <c r="J1246" s="43"/>
      <c r="K1246" s="218">
        <f>F1246*H1246</f>
        <v>1.6099999999999999</v>
      </c>
      <c r="L1246" s="218"/>
      <c r="M1246" s="273"/>
    </row>
    <row r="1247" spans="1:13" x14ac:dyDescent="0.2">
      <c r="A1247" s="235"/>
      <c r="B1247" s="9"/>
      <c r="C1247" s="7"/>
      <c r="D1247" s="17"/>
      <c r="E1247" s="218"/>
      <c r="F1247" s="218"/>
      <c r="G1247" s="218"/>
      <c r="H1247" s="218"/>
      <c r="I1247" s="218"/>
      <c r="J1247" s="43"/>
      <c r="K1247" s="218"/>
      <c r="L1247" s="218"/>
      <c r="M1247" s="273"/>
    </row>
    <row r="1248" spans="1:13" x14ac:dyDescent="0.2">
      <c r="A1248" s="235"/>
      <c r="B1248" s="9"/>
      <c r="C1248" s="7" t="s">
        <v>595</v>
      </c>
      <c r="D1248" s="17"/>
      <c r="E1248" s="218"/>
      <c r="F1248" s="218"/>
      <c r="G1248" s="218"/>
      <c r="H1248" s="218"/>
      <c r="I1248" s="218"/>
      <c r="J1248" s="43"/>
      <c r="K1248" s="218"/>
      <c r="L1248" s="218"/>
      <c r="M1248" s="273"/>
    </row>
    <row r="1249" spans="1:13" x14ac:dyDescent="0.2">
      <c r="A1249" s="235"/>
      <c r="B1249" s="9"/>
      <c r="C1249" s="7" t="s">
        <v>596</v>
      </c>
      <c r="D1249" s="17"/>
      <c r="E1249" s="218"/>
      <c r="F1249" s="218"/>
      <c r="G1249" s="218">
        <v>6.2</v>
      </c>
      <c r="H1249" s="218"/>
      <c r="I1249" s="218">
        <v>1</v>
      </c>
      <c r="J1249" s="45">
        <f>G1249*I1249</f>
        <v>6.2</v>
      </c>
      <c r="K1249" s="218"/>
      <c r="L1249" s="218"/>
      <c r="M1249" s="273"/>
    </row>
    <row r="1250" spans="1:13" x14ac:dyDescent="0.2">
      <c r="A1250" s="235"/>
      <c r="B1250" s="9"/>
      <c r="C1250" s="7" t="s">
        <v>597</v>
      </c>
      <c r="D1250" s="17"/>
      <c r="E1250" s="218"/>
      <c r="F1250" s="218"/>
      <c r="G1250" s="218"/>
      <c r="H1250" s="218"/>
      <c r="I1250" s="139"/>
      <c r="J1250" s="44">
        <v>-0.42</v>
      </c>
      <c r="K1250" s="218"/>
      <c r="L1250" s="218"/>
      <c r="M1250" s="273"/>
    </row>
    <row r="1251" spans="1:13" x14ac:dyDescent="0.2">
      <c r="A1251" s="235"/>
      <c r="B1251" s="9"/>
      <c r="C1251" s="7" t="s">
        <v>586</v>
      </c>
      <c r="D1251" s="17"/>
      <c r="E1251" s="218"/>
      <c r="F1251" s="218"/>
      <c r="G1251" s="218"/>
      <c r="H1251" s="218"/>
      <c r="I1251" s="139"/>
      <c r="J1251" s="44">
        <v>-0.36</v>
      </c>
      <c r="K1251" s="218"/>
      <c r="L1251" s="218"/>
      <c r="M1251" s="273">
        <f>SUM(I1249:I1251)</f>
        <v>1</v>
      </c>
    </row>
    <row r="1252" spans="1:13" x14ac:dyDescent="0.2">
      <c r="A1252" s="235"/>
      <c r="B1252" s="9"/>
      <c r="C1252" s="7"/>
      <c r="D1252" s="17"/>
      <c r="E1252" s="218"/>
      <c r="F1252" s="218"/>
      <c r="G1252" s="218"/>
      <c r="H1252" s="218"/>
      <c r="I1252" s="218"/>
      <c r="J1252" s="43"/>
      <c r="K1252" s="218"/>
      <c r="L1252" s="218"/>
      <c r="M1252" s="273"/>
    </row>
    <row r="1253" spans="1:13" x14ac:dyDescent="0.2">
      <c r="A1253" s="235"/>
      <c r="B1253" s="9"/>
      <c r="C1253" s="7" t="s">
        <v>533</v>
      </c>
      <c r="D1253" s="17"/>
      <c r="E1253" s="218"/>
      <c r="F1253" s="218">
        <v>1.8</v>
      </c>
      <c r="G1253" s="218"/>
      <c r="H1253" s="218">
        <v>1.3</v>
      </c>
      <c r="I1253" s="218"/>
      <c r="J1253" s="43"/>
      <c r="K1253" s="218">
        <f>F1253*H1253</f>
        <v>2.3400000000000003</v>
      </c>
      <c r="L1253" s="218"/>
      <c r="M1253" s="273"/>
    </row>
    <row r="1254" spans="1:13" x14ac:dyDescent="0.2">
      <c r="A1254" s="235"/>
      <c r="B1254" s="9"/>
      <c r="C1254" s="7"/>
      <c r="D1254" s="17"/>
      <c r="E1254" s="218"/>
      <c r="F1254" s="218"/>
      <c r="G1254" s="218"/>
      <c r="H1254" s="218"/>
      <c r="I1254" s="218"/>
      <c r="J1254" s="43"/>
      <c r="K1254" s="218"/>
      <c r="L1254" s="218"/>
      <c r="M1254" s="273"/>
    </row>
    <row r="1255" spans="1:13" x14ac:dyDescent="0.2">
      <c r="A1255" s="235"/>
      <c r="B1255" s="9"/>
      <c r="C1255" s="7" t="s">
        <v>598</v>
      </c>
      <c r="D1255" s="17"/>
      <c r="E1255" s="218"/>
      <c r="F1255" s="218"/>
      <c r="G1255" s="218"/>
      <c r="H1255" s="218"/>
      <c r="I1255" s="218"/>
      <c r="J1255" s="43"/>
      <c r="K1255" s="218"/>
      <c r="L1255" s="218"/>
      <c r="M1255" s="273"/>
    </row>
    <row r="1256" spans="1:13" x14ac:dyDescent="0.2">
      <c r="A1256" s="235"/>
      <c r="B1256" s="9"/>
      <c r="C1256" s="7"/>
      <c r="D1256" s="17"/>
      <c r="E1256" s="218"/>
      <c r="F1256" s="218"/>
      <c r="G1256" s="218"/>
      <c r="H1256" s="218"/>
      <c r="I1256" s="218"/>
      <c r="J1256" s="43"/>
      <c r="K1256" s="218"/>
      <c r="L1256" s="218"/>
      <c r="M1256" s="273"/>
    </row>
    <row r="1257" spans="1:13" x14ac:dyDescent="0.2">
      <c r="A1257" s="235"/>
      <c r="B1257" s="9"/>
      <c r="C1257" s="7" t="s">
        <v>599</v>
      </c>
      <c r="D1257" s="17"/>
      <c r="E1257" s="218">
        <v>2</v>
      </c>
      <c r="F1257" s="218"/>
      <c r="G1257" s="218">
        <v>9.4</v>
      </c>
      <c r="H1257" s="218"/>
      <c r="I1257" s="218">
        <v>1.4</v>
      </c>
      <c r="J1257" s="43">
        <f>E1257*G1257*I1257</f>
        <v>26.32</v>
      </c>
      <c r="K1257" s="218"/>
      <c r="L1257" s="218"/>
      <c r="M1257" s="273"/>
    </row>
    <row r="1258" spans="1:13" x14ac:dyDescent="0.2">
      <c r="A1258" s="235"/>
      <c r="B1258" s="9"/>
      <c r="C1258" s="7" t="s">
        <v>600</v>
      </c>
      <c r="D1258" s="17"/>
      <c r="E1258" s="218">
        <v>2</v>
      </c>
      <c r="F1258" s="218"/>
      <c r="G1258" s="218">
        <v>0.6</v>
      </c>
      <c r="H1258" s="218"/>
      <c r="I1258" s="218">
        <v>-0.7</v>
      </c>
      <c r="J1258" s="43">
        <f>E1258*G1258*I1258</f>
        <v>-0.84</v>
      </c>
      <c r="K1258" s="218"/>
      <c r="L1258" s="218"/>
      <c r="M1258" s="273"/>
    </row>
    <row r="1259" spans="1:13" x14ac:dyDescent="0.2">
      <c r="A1259" s="235"/>
      <c r="B1259" s="9"/>
      <c r="C1259" s="7" t="s">
        <v>601</v>
      </c>
      <c r="D1259" s="17"/>
      <c r="E1259" s="218">
        <v>2</v>
      </c>
      <c r="F1259" s="218"/>
      <c r="G1259" s="218">
        <v>1</v>
      </c>
      <c r="H1259" s="218"/>
      <c r="I1259" s="218">
        <v>-0.6</v>
      </c>
      <c r="J1259" s="43">
        <f>E1259*G1259*I1259</f>
        <v>-1.2</v>
      </c>
      <c r="K1259" s="218"/>
      <c r="L1259" s="218"/>
      <c r="M1259" s="273">
        <f>SUM(J1257:J1259)</f>
        <v>24.28</v>
      </c>
    </row>
    <row r="1260" spans="1:13" x14ac:dyDescent="0.2">
      <c r="A1260" s="235"/>
      <c r="B1260" s="9"/>
      <c r="C1260" s="7"/>
      <c r="D1260" s="17"/>
      <c r="E1260" s="218"/>
      <c r="F1260" s="218"/>
      <c r="G1260" s="218"/>
      <c r="H1260" s="218"/>
      <c r="I1260" s="218"/>
      <c r="J1260" s="43"/>
      <c r="K1260" s="218"/>
      <c r="L1260" s="218"/>
      <c r="M1260" s="273"/>
    </row>
    <row r="1261" spans="1:13" x14ac:dyDescent="0.2">
      <c r="A1261" s="235"/>
      <c r="B1261" s="9"/>
      <c r="C1261" s="7" t="s">
        <v>533</v>
      </c>
      <c r="D1261" s="17"/>
      <c r="E1261" s="218">
        <v>2</v>
      </c>
      <c r="F1261" s="218">
        <v>1.85</v>
      </c>
      <c r="G1261" s="218"/>
      <c r="H1261" s="218">
        <v>2.85</v>
      </c>
      <c r="I1261" s="218"/>
      <c r="J1261" s="43"/>
      <c r="K1261" s="218">
        <f>E1261*F1261*H1261</f>
        <v>10.545000000000002</v>
      </c>
      <c r="L1261" s="218"/>
      <c r="M1261" s="273"/>
    </row>
    <row r="1262" spans="1:13" x14ac:dyDescent="0.2">
      <c r="A1262" s="235"/>
      <c r="B1262" s="9"/>
      <c r="C1262" s="7"/>
      <c r="D1262" s="17"/>
      <c r="E1262" s="218"/>
      <c r="F1262" s="218"/>
      <c r="G1262" s="218"/>
      <c r="H1262" s="218"/>
      <c r="I1262" s="218"/>
      <c r="J1262" s="43"/>
      <c r="K1262" s="218"/>
      <c r="L1262" s="218"/>
      <c r="M1262" s="273"/>
    </row>
    <row r="1263" spans="1:13" x14ac:dyDescent="0.2">
      <c r="A1263" s="235"/>
      <c r="B1263" s="9"/>
      <c r="C1263" s="7" t="s">
        <v>602</v>
      </c>
      <c r="D1263" s="17"/>
      <c r="E1263" s="218"/>
      <c r="F1263" s="218"/>
      <c r="G1263" s="218"/>
      <c r="H1263" s="218"/>
      <c r="I1263" s="218"/>
      <c r="J1263" s="43"/>
      <c r="K1263" s="218"/>
      <c r="L1263" s="218"/>
      <c r="M1263" s="273"/>
    </row>
    <row r="1264" spans="1:13" x14ac:dyDescent="0.2">
      <c r="A1264" s="235"/>
      <c r="B1264" s="9"/>
      <c r="C1264" s="7" t="s">
        <v>603</v>
      </c>
      <c r="D1264" s="17"/>
      <c r="E1264" s="218"/>
      <c r="F1264" s="218"/>
      <c r="G1264" s="218"/>
      <c r="H1264" s="218"/>
      <c r="I1264" s="218"/>
      <c r="J1264" s="43"/>
      <c r="K1264" s="218"/>
      <c r="L1264" s="218"/>
      <c r="M1264" s="273"/>
    </row>
    <row r="1265" spans="1:13" x14ac:dyDescent="0.2">
      <c r="A1265" s="235"/>
      <c r="B1265" s="9"/>
      <c r="C1265" s="7"/>
      <c r="D1265" s="17"/>
      <c r="E1265" s="218"/>
      <c r="F1265" s="218"/>
      <c r="G1265" s="218"/>
      <c r="H1265" s="218"/>
      <c r="I1265" s="218"/>
      <c r="J1265" s="43"/>
      <c r="K1265" s="218"/>
      <c r="L1265" s="218"/>
      <c r="M1265" s="273"/>
    </row>
    <row r="1266" spans="1:13" x14ac:dyDescent="0.2">
      <c r="A1266" s="235"/>
      <c r="B1266" s="9"/>
      <c r="C1266" s="7" t="s">
        <v>604</v>
      </c>
      <c r="D1266" s="17"/>
      <c r="E1266" s="218"/>
      <c r="F1266" s="218"/>
      <c r="G1266" s="218"/>
      <c r="H1266" s="218"/>
      <c r="I1266" s="218"/>
      <c r="J1266" s="43"/>
      <c r="K1266" s="218"/>
      <c r="L1266" s="218"/>
      <c r="M1266" s="273"/>
    </row>
    <row r="1267" spans="1:13" x14ac:dyDescent="0.2">
      <c r="A1267" s="235"/>
      <c r="B1267" s="9"/>
      <c r="C1267" s="7" t="s">
        <v>605</v>
      </c>
      <c r="D1267" s="17"/>
      <c r="E1267" s="218"/>
      <c r="F1267" s="218"/>
      <c r="G1267" s="218">
        <v>15.95</v>
      </c>
      <c r="H1267" s="218"/>
      <c r="I1267" s="218">
        <v>2.8</v>
      </c>
      <c r="J1267" s="43">
        <f>G1267*I1267</f>
        <v>44.66</v>
      </c>
      <c r="K1267" s="218"/>
      <c r="L1267" s="218"/>
      <c r="M1267" s="273"/>
    </row>
    <row r="1268" spans="1:13" x14ac:dyDescent="0.2">
      <c r="A1268" s="235"/>
      <c r="B1268" s="9"/>
      <c r="C1268" s="7" t="s">
        <v>606</v>
      </c>
      <c r="D1268" s="17"/>
      <c r="E1268" s="218"/>
      <c r="F1268" s="218"/>
      <c r="G1268" s="218"/>
      <c r="H1268" s="218"/>
      <c r="I1268" s="218"/>
      <c r="J1268" s="43">
        <v>-1.68</v>
      </c>
      <c r="K1268" s="218"/>
      <c r="L1268" s="218"/>
      <c r="M1268" s="273"/>
    </row>
    <row r="1269" spans="1:13" x14ac:dyDescent="0.2">
      <c r="A1269" s="235"/>
      <c r="B1269" s="9"/>
      <c r="C1269" s="7" t="s">
        <v>607</v>
      </c>
      <c r="D1269" s="17"/>
      <c r="E1269" s="218"/>
      <c r="F1269" s="218"/>
      <c r="G1269" s="218"/>
      <c r="H1269" s="218"/>
      <c r="I1269" s="218"/>
      <c r="J1269" s="43">
        <v>-0.36</v>
      </c>
      <c r="K1269" s="218"/>
      <c r="L1269" s="218"/>
      <c r="M1269" s="273"/>
    </row>
    <row r="1270" spans="1:13" x14ac:dyDescent="0.2">
      <c r="A1270" s="235"/>
      <c r="B1270" s="9"/>
      <c r="C1270" s="7" t="s">
        <v>608</v>
      </c>
      <c r="D1270" s="17"/>
      <c r="E1270" s="218"/>
      <c r="F1270" s="218"/>
      <c r="G1270" s="218"/>
      <c r="H1270" s="218"/>
      <c r="I1270" s="218"/>
      <c r="J1270" s="43">
        <v>-3.68</v>
      </c>
      <c r="K1270" s="218"/>
      <c r="L1270" s="218"/>
      <c r="M1270" s="273"/>
    </row>
    <row r="1271" spans="1:13" x14ac:dyDescent="0.2">
      <c r="A1271" s="235"/>
      <c r="B1271" s="9"/>
      <c r="C1271" s="7" t="s">
        <v>609</v>
      </c>
      <c r="D1271" s="17"/>
      <c r="E1271" s="218"/>
      <c r="F1271" s="218"/>
      <c r="G1271" s="218">
        <v>2.5499999999999998</v>
      </c>
      <c r="H1271" s="218"/>
      <c r="I1271" s="218">
        <v>-1.4</v>
      </c>
      <c r="J1271" s="43">
        <f>G1271*I1271</f>
        <v>-3.5699999999999994</v>
      </c>
      <c r="K1271" s="218"/>
      <c r="L1271" s="218"/>
      <c r="M1271" s="273">
        <f>SUM(J1267:J1271)</f>
        <v>35.369999999999997</v>
      </c>
    </row>
    <row r="1272" spans="1:13" x14ac:dyDescent="0.2">
      <c r="A1272" s="235"/>
      <c r="B1272" s="9"/>
      <c r="C1272" s="7"/>
      <c r="D1272" s="17"/>
      <c r="E1272" s="218"/>
      <c r="F1272" s="218"/>
      <c r="G1272" s="218"/>
      <c r="H1272" s="218"/>
      <c r="I1272" s="218"/>
      <c r="J1272" s="43"/>
      <c r="K1272" s="218"/>
      <c r="L1272" s="218"/>
      <c r="M1272" s="273"/>
    </row>
    <row r="1273" spans="1:13" x14ac:dyDescent="0.2">
      <c r="A1273" s="235"/>
      <c r="B1273" s="9"/>
      <c r="C1273" s="7" t="s">
        <v>533</v>
      </c>
      <c r="D1273" s="17"/>
      <c r="E1273" s="218"/>
      <c r="F1273" s="218"/>
      <c r="G1273" s="218"/>
      <c r="H1273" s="218"/>
      <c r="I1273" s="218"/>
      <c r="J1273" s="43"/>
      <c r="K1273" s="218">
        <v>17.07</v>
      </c>
      <c r="L1273" s="218"/>
      <c r="M1273" s="273"/>
    </row>
    <row r="1274" spans="1:13" x14ac:dyDescent="0.2">
      <c r="A1274" s="235"/>
      <c r="B1274" s="9"/>
      <c r="C1274" s="7"/>
      <c r="D1274" s="17"/>
      <c r="E1274" s="218"/>
      <c r="F1274" s="218"/>
      <c r="G1274" s="218"/>
      <c r="H1274" s="218"/>
      <c r="I1274" s="218"/>
      <c r="J1274" s="43"/>
      <c r="K1274" s="218"/>
      <c r="L1274" s="218"/>
      <c r="M1274" s="273"/>
    </row>
    <row r="1275" spans="1:13" x14ac:dyDescent="0.2">
      <c r="A1275" s="235"/>
      <c r="B1275" s="9"/>
      <c r="C1275" s="7"/>
      <c r="D1275" s="17"/>
      <c r="E1275" s="218"/>
      <c r="F1275" s="218"/>
      <c r="G1275" s="414" t="s">
        <v>610</v>
      </c>
      <c r="H1275" s="412" t="s">
        <v>533</v>
      </c>
      <c r="I1275" s="413"/>
      <c r="J1275" s="43">
        <f>SUM(K1225:K1273)</f>
        <v>39.864400000000003</v>
      </c>
      <c r="K1275" s="218"/>
      <c r="L1275" s="218"/>
      <c r="M1275" s="273"/>
    </row>
    <row r="1276" spans="1:13" x14ac:dyDescent="0.2">
      <c r="A1276" s="235"/>
      <c r="B1276" s="9"/>
      <c r="C1276" s="7"/>
      <c r="D1276" s="17"/>
      <c r="E1276" s="218"/>
      <c r="F1276" s="218"/>
      <c r="G1276" s="415"/>
      <c r="H1276" s="412" t="s">
        <v>534</v>
      </c>
      <c r="I1276" s="413"/>
      <c r="J1276" s="43">
        <f>SUM(M1223:M1271)</f>
        <v>86.68</v>
      </c>
      <c r="K1276" s="218"/>
      <c r="L1276" s="218"/>
      <c r="M1276" s="273"/>
    </row>
    <row r="1277" spans="1:13" x14ac:dyDescent="0.2">
      <c r="A1277" s="235"/>
      <c r="B1277" s="9"/>
      <c r="C1277" s="7"/>
      <c r="D1277" s="17"/>
      <c r="E1277" s="218"/>
      <c r="F1277" s="218"/>
      <c r="G1277" s="218"/>
      <c r="H1277" s="218"/>
      <c r="I1277" s="218"/>
      <c r="J1277" s="43"/>
      <c r="K1277" s="218"/>
      <c r="L1277" s="218"/>
      <c r="M1277" s="273"/>
    </row>
    <row r="1278" spans="1:13" x14ac:dyDescent="0.2">
      <c r="A1278" s="235"/>
      <c r="B1278" s="9"/>
      <c r="C1278" s="7"/>
      <c r="D1278" s="17"/>
      <c r="E1278" s="218"/>
      <c r="F1278" s="218"/>
      <c r="G1278" s="218"/>
      <c r="H1278" s="218"/>
      <c r="I1278" s="218"/>
      <c r="J1278" s="43"/>
      <c r="K1278" s="218"/>
      <c r="L1278" s="218"/>
      <c r="M1278" s="273"/>
    </row>
    <row r="1279" spans="1:13" ht="48" x14ac:dyDescent="0.2">
      <c r="A1279" s="231" t="s">
        <v>136</v>
      </c>
      <c r="B1279" s="9" t="s">
        <v>378</v>
      </c>
      <c r="C1279" s="7" t="s">
        <v>293</v>
      </c>
      <c r="D1279" s="17" t="s">
        <v>17</v>
      </c>
      <c r="E1279" s="218"/>
      <c r="F1279" s="218"/>
      <c r="G1279" s="218"/>
      <c r="H1279" s="218"/>
      <c r="I1279" s="218"/>
      <c r="J1279" s="218"/>
      <c r="K1279" s="218"/>
      <c r="L1279" s="218"/>
      <c r="M1279" s="272">
        <f>SUM(M1280)</f>
        <v>189.30650000000009</v>
      </c>
    </row>
    <row r="1280" spans="1:13" x14ac:dyDescent="0.2">
      <c r="A1280" s="231"/>
      <c r="B1280" s="9"/>
      <c r="C1280" s="7" t="s">
        <v>677</v>
      </c>
      <c r="D1280" s="17"/>
      <c r="E1280" s="218"/>
      <c r="F1280" s="218"/>
      <c r="G1280" s="218"/>
      <c r="H1280" s="218"/>
      <c r="I1280" s="218"/>
      <c r="J1280" s="218"/>
      <c r="K1280" s="218"/>
      <c r="L1280" s="218"/>
      <c r="M1280" s="277">
        <f>M431</f>
        <v>189.30650000000009</v>
      </c>
    </row>
    <row r="1281" spans="1:13" x14ac:dyDescent="0.2">
      <c r="A1281" s="231"/>
      <c r="B1281" s="9"/>
      <c r="C1281" s="7"/>
      <c r="D1281" s="17"/>
      <c r="E1281" s="218"/>
      <c r="F1281" s="218"/>
      <c r="G1281" s="218"/>
      <c r="H1281" s="218"/>
      <c r="I1281" s="218"/>
      <c r="J1281" s="218"/>
      <c r="K1281" s="218"/>
      <c r="L1281" s="218"/>
      <c r="M1281" s="277"/>
    </row>
    <row r="1282" spans="1:13" x14ac:dyDescent="0.2">
      <c r="A1282" s="231"/>
      <c r="B1282" s="9"/>
      <c r="C1282" s="7"/>
      <c r="D1282" s="17"/>
      <c r="E1282" s="218"/>
      <c r="F1282" s="218"/>
      <c r="G1282" s="218"/>
      <c r="H1282" s="218"/>
      <c r="I1282" s="218"/>
      <c r="J1282" s="218"/>
      <c r="K1282" s="218"/>
      <c r="L1282" s="218"/>
      <c r="M1282" s="277"/>
    </row>
    <row r="1283" spans="1:13" ht="84" x14ac:dyDescent="0.2">
      <c r="A1283" s="231" t="s">
        <v>137</v>
      </c>
      <c r="B1283" s="9" t="s">
        <v>379</v>
      </c>
      <c r="C1283" s="7" t="s">
        <v>294</v>
      </c>
      <c r="D1283" s="17" t="s">
        <v>17</v>
      </c>
      <c r="E1283" s="218"/>
      <c r="F1283" s="218"/>
      <c r="G1283" s="218"/>
      <c r="H1283" s="218"/>
      <c r="I1283" s="218"/>
      <c r="J1283" s="218"/>
      <c r="K1283" s="218"/>
      <c r="L1283" s="218"/>
      <c r="M1283" s="272">
        <f>SUM(M1284)</f>
        <v>189.30650000000009</v>
      </c>
    </row>
    <row r="1284" spans="1:13" x14ac:dyDescent="0.2">
      <c r="A1284" s="235"/>
      <c r="B1284" s="9"/>
      <c r="C1284" s="7" t="s">
        <v>677</v>
      </c>
      <c r="D1284" s="17"/>
      <c r="E1284" s="218"/>
      <c r="F1284" s="218"/>
      <c r="G1284" s="218"/>
      <c r="H1284" s="218"/>
      <c r="I1284" s="218"/>
      <c r="J1284" s="218"/>
      <c r="K1284" s="218"/>
      <c r="L1284" s="218"/>
      <c r="M1284" s="277">
        <f>M1280</f>
        <v>189.30650000000009</v>
      </c>
    </row>
    <row r="1285" spans="1:13" x14ac:dyDescent="0.2">
      <c r="A1285" s="235"/>
      <c r="B1285" s="9"/>
      <c r="C1285" s="7"/>
      <c r="D1285" s="17"/>
      <c r="E1285" s="218"/>
      <c r="F1285" s="218"/>
      <c r="G1285" s="218"/>
      <c r="H1285" s="218"/>
      <c r="I1285" s="218"/>
      <c r="J1285" s="43"/>
      <c r="K1285" s="218"/>
      <c r="L1285" s="218"/>
      <c r="M1285" s="273"/>
    </row>
    <row r="1286" spans="1:13" x14ac:dyDescent="0.2">
      <c r="A1286" s="235"/>
      <c r="B1286" s="9"/>
      <c r="C1286" s="7"/>
      <c r="D1286" s="17"/>
      <c r="E1286" s="218"/>
      <c r="F1286" s="218"/>
      <c r="G1286" s="218"/>
      <c r="H1286" s="218"/>
      <c r="I1286" s="218"/>
      <c r="J1286" s="43"/>
      <c r="K1286" s="218"/>
      <c r="L1286" s="218"/>
      <c r="M1286" s="273"/>
    </row>
    <row r="1287" spans="1:13" ht="60" x14ac:dyDescent="0.2">
      <c r="A1287" s="231" t="s">
        <v>134</v>
      </c>
      <c r="B1287" s="9" t="s">
        <v>380</v>
      </c>
      <c r="C1287" s="7" t="s">
        <v>135</v>
      </c>
      <c r="D1287" s="17" t="s">
        <v>17</v>
      </c>
      <c r="E1287" s="218"/>
      <c r="F1287" s="218"/>
      <c r="G1287" s="218"/>
      <c r="H1287" s="218"/>
      <c r="I1287" s="218"/>
      <c r="J1287" s="218"/>
      <c r="K1287" s="218"/>
      <c r="L1287" s="218"/>
      <c r="M1287" s="272">
        <f>SUM(M1288:M1297)</f>
        <v>124.23000000000002</v>
      </c>
    </row>
    <row r="1288" spans="1:13" x14ac:dyDescent="0.2">
      <c r="A1288" s="231"/>
      <c r="B1288" s="9"/>
      <c r="C1288" s="7" t="s">
        <v>630</v>
      </c>
      <c r="D1288" s="17">
        <v>1</v>
      </c>
      <c r="E1288" s="218"/>
      <c r="F1288" s="218">
        <v>3</v>
      </c>
      <c r="G1288" s="218"/>
      <c r="H1288" s="218">
        <v>0.8</v>
      </c>
      <c r="I1288" s="218">
        <v>2.1</v>
      </c>
      <c r="J1288" s="218">
        <f>I1288*H1288*F1288*D1288</f>
        <v>5.0400000000000009</v>
      </c>
      <c r="K1288" s="218"/>
      <c r="L1288" s="218"/>
      <c r="M1288" s="277">
        <f>J1288</f>
        <v>5.0400000000000009</v>
      </c>
    </row>
    <row r="1289" spans="1:13" x14ac:dyDescent="0.2">
      <c r="A1289" s="231"/>
      <c r="B1289" s="9"/>
      <c r="C1289" s="7" t="s">
        <v>631</v>
      </c>
      <c r="D1289" s="17"/>
      <c r="E1289" s="218"/>
      <c r="F1289" s="218"/>
      <c r="G1289" s="218"/>
      <c r="H1289" s="218"/>
      <c r="I1289" s="218"/>
      <c r="J1289" s="218"/>
      <c r="K1289" s="218"/>
      <c r="L1289" s="218"/>
      <c r="M1289" s="277"/>
    </row>
    <row r="1290" spans="1:13" x14ac:dyDescent="0.2">
      <c r="A1290" s="231"/>
      <c r="B1290" s="9"/>
      <c r="C1290" s="7" t="s">
        <v>632</v>
      </c>
      <c r="D1290" s="17">
        <v>3</v>
      </c>
      <c r="E1290" s="218"/>
      <c r="F1290" s="218">
        <v>1</v>
      </c>
      <c r="G1290" s="218"/>
      <c r="H1290" s="218">
        <v>12.8</v>
      </c>
      <c r="I1290" s="218">
        <v>0.8</v>
      </c>
      <c r="J1290" s="218">
        <f>I1290*H1290*F1290*D1290</f>
        <v>30.720000000000006</v>
      </c>
      <c r="K1290" s="218"/>
      <c r="L1290" s="218"/>
      <c r="M1290" s="277">
        <f>J1290</f>
        <v>30.720000000000006</v>
      </c>
    </row>
    <row r="1291" spans="1:13" x14ac:dyDescent="0.2">
      <c r="A1291" s="231"/>
      <c r="B1291" s="9"/>
      <c r="C1291" s="7" t="s">
        <v>633</v>
      </c>
      <c r="D1291" s="17">
        <v>3</v>
      </c>
      <c r="E1291" s="218"/>
      <c r="F1291" s="218">
        <v>1</v>
      </c>
      <c r="G1291" s="218"/>
      <c r="H1291" s="218">
        <v>5.8</v>
      </c>
      <c r="I1291" s="218">
        <v>0.8</v>
      </c>
      <c r="J1291" s="218">
        <f>I1291*H1291*F1291*D1291</f>
        <v>13.919999999999998</v>
      </c>
      <c r="K1291" s="218"/>
      <c r="L1291" s="218"/>
      <c r="M1291" s="277">
        <f>J1291</f>
        <v>13.919999999999998</v>
      </c>
    </row>
    <row r="1292" spans="1:13" x14ac:dyDescent="0.2">
      <c r="A1292" s="231"/>
      <c r="B1292" s="9"/>
      <c r="C1292" s="7" t="s">
        <v>634</v>
      </c>
      <c r="D1292" s="17"/>
      <c r="E1292" s="218"/>
      <c r="F1292" s="218"/>
      <c r="G1292" s="218"/>
      <c r="H1292" s="218"/>
      <c r="I1292" s="218"/>
      <c r="J1292" s="218"/>
      <c r="K1292" s="218"/>
      <c r="L1292" s="218"/>
      <c r="M1292" s="277"/>
    </row>
    <row r="1293" spans="1:13" x14ac:dyDescent="0.2">
      <c r="A1293" s="231"/>
      <c r="B1293" s="9"/>
      <c r="C1293" s="7" t="s">
        <v>635</v>
      </c>
      <c r="D1293" s="17">
        <v>1</v>
      </c>
      <c r="E1293" s="218"/>
      <c r="F1293" s="218">
        <v>1</v>
      </c>
      <c r="G1293" s="218"/>
      <c r="H1293" s="218">
        <v>9.5500000000000007</v>
      </c>
      <c r="I1293" s="218">
        <v>5.4</v>
      </c>
      <c r="J1293" s="218">
        <f>I1293*H1293*F1293*D1293</f>
        <v>51.570000000000007</v>
      </c>
      <c r="K1293" s="218"/>
      <c r="L1293" s="218"/>
      <c r="M1293" s="277">
        <f>J1293</f>
        <v>51.570000000000007</v>
      </c>
    </row>
    <row r="1294" spans="1:13" x14ac:dyDescent="0.2">
      <c r="A1294" s="231"/>
      <c r="B1294" s="9"/>
      <c r="C1294" s="7" t="s">
        <v>636</v>
      </c>
      <c r="D1294" s="17"/>
      <c r="E1294" s="218"/>
      <c r="F1294" s="218"/>
      <c r="G1294" s="218"/>
      <c r="H1294" s="218"/>
      <c r="I1294" s="218"/>
      <c r="J1294" s="218"/>
      <c r="K1294" s="218"/>
      <c r="L1294" s="218"/>
      <c r="M1294" s="277"/>
    </row>
    <row r="1295" spans="1:13" x14ac:dyDescent="0.2">
      <c r="A1295" s="231"/>
      <c r="B1295" s="9"/>
      <c r="C1295" s="7" t="s">
        <v>637</v>
      </c>
      <c r="D1295" s="17">
        <v>1</v>
      </c>
      <c r="E1295" s="218"/>
      <c r="F1295" s="218">
        <v>1</v>
      </c>
      <c r="G1295" s="218"/>
      <c r="H1295" s="218">
        <v>10.5</v>
      </c>
      <c r="I1295" s="218">
        <v>1</v>
      </c>
      <c r="J1295" s="218">
        <f>I1295*H1295*F1295*D1295</f>
        <v>10.5</v>
      </c>
      <c r="K1295" s="218"/>
      <c r="L1295" s="218"/>
      <c r="M1295" s="277">
        <f>J1295</f>
        <v>10.5</v>
      </c>
    </row>
    <row r="1296" spans="1:13" x14ac:dyDescent="0.2">
      <c r="A1296" s="231"/>
      <c r="B1296" s="9"/>
      <c r="C1296" s="7" t="s">
        <v>638</v>
      </c>
      <c r="D1296" s="17"/>
      <c r="E1296" s="218"/>
      <c r="F1296" s="218"/>
      <c r="G1296" s="218"/>
      <c r="H1296" s="218"/>
      <c r="I1296" s="218"/>
      <c r="J1296" s="218"/>
      <c r="K1296" s="218"/>
      <c r="L1296" s="218"/>
      <c r="M1296" s="277"/>
    </row>
    <row r="1297" spans="1:13" x14ac:dyDescent="0.2">
      <c r="A1297" s="231"/>
      <c r="B1297" s="9"/>
      <c r="C1297" s="7" t="s">
        <v>639</v>
      </c>
      <c r="D1297" s="17">
        <v>2</v>
      </c>
      <c r="E1297" s="218"/>
      <c r="F1297" s="218">
        <v>2</v>
      </c>
      <c r="G1297" s="218"/>
      <c r="H1297" s="218">
        <v>1.2</v>
      </c>
      <c r="I1297" s="218">
        <v>2.6</v>
      </c>
      <c r="J1297" s="218">
        <f>I1297*H1297*F1297*D1297</f>
        <v>12.48</v>
      </c>
      <c r="K1297" s="218"/>
      <c r="L1297" s="218"/>
      <c r="M1297" s="277">
        <f>J1297</f>
        <v>12.48</v>
      </c>
    </row>
    <row r="1298" spans="1:13" x14ac:dyDescent="0.2">
      <c r="A1298" s="231"/>
      <c r="B1298" s="9"/>
      <c r="C1298" s="7"/>
      <c r="D1298" s="17"/>
      <c r="E1298" s="218"/>
      <c r="F1298" s="218"/>
      <c r="G1298" s="218"/>
      <c r="H1298" s="218"/>
      <c r="I1298" s="218"/>
      <c r="J1298" s="218"/>
      <c r="K1298" s="218"/>
      <c r="L1298" s="218"/>
      <c r="M1298" s="277"/>
    </row>
    <row r="1299" spans="1:13" x14ac:dyDescent="0.2">
      <c r="A1299" s="231"/>
      <c r="B1299" s="9"/>
      <c r="C1299" s="7"/>
      <c r="D1299" s="17"/>
      <c r="E1299" s="218"/>
      <c r="F1299" s="218"/>
      <c r="G1299" s="218"/>
      <c r="H1299" s="218"/>
      <c r="I1299" s="218"/>
      <c r="J1299" s="218"/>
      <c r="K1299" s="218"/>
      <c r="L1299" s="218"/>
      <c r="M1299" s="277"/>
    </row>
    <row r="1300" spans="1:13" x14ac:dyDescent="0.2">
      <c r="A1300" s="235"/>
      <c r="B1300" s="9"/>
      <c r="C1300" s="7"/>
      <c r="D1300" s="17"/>
      <c r="E1300" s="218"/>
      <c r="F1300" s="218"/>
      <c r="G1300" s="218"/>
      <c r="H1300" s="218"/>
      <c r="I1300" s="218"/>
      <c r="J1300" s="218"/>
      <c r="K1300" s="218"/>
      <c r="L1300" s="218"/>
      <c r="M1300" s="273"/>
    </row>
    <row r="1301" spans="1:13" x14ac:dyDescent="0.2">
      <c r="A1301" s="235"/>
      <c r="B1301" s="9"/>
      <c r="C1301" s="7"/>
      <c r="D1301" s="17"/>
      <c r="E1301" s="218"/>
      <c r="F1301" s="218"/>
      <c r="G1301" s="218"/>
      <c r="H1301" s="218"/>
      <c r="I1301" s="218"/>
      <c r="J1301" s="218"/>
      <c r="K1301" s="218"/>
      <c r="L1301" s="218"/>
      <c r="M1301" s="273"/>
    </row>
    <row r="1302" spans="1:13" ht="48" x14ac:dyDescent="0.2">
      <c r="A1302" s="231" t="s">
        <v>138</v>
      </c>
      <c r="B1302" s="9" t="s">
        <v>381</v>
      </c>
      <c r="C1302" s="7" t="s">
        <v>295</v>
      </c>
      <c r="D1302" s="17" t="s">
        <v>17</v>
      </c>
      <c r="E1302" s="218"/>
      <c r="F1302" s="218"/>
      <c r="G1302" s="218"/>
      <c r="H1302" s="218"/>
      <c r="I1302" s="218"/>
      <c r="J1302" s="218"/>
      <c r="K1302" s="218"/>
      <c r="L1302" s="218"/>
      <c r="M1302" s="272">
        <f>SUM(M1303,M1310,M1319,M1328,M1332)</f>
        <v>333.23000000000008</v>
      </c>
    </row>
    <row r="1303" spans="1:13" x14ac:dyDescent="0.2">
      <c r="A1303" s="231"/>
      <c r="B1303" s="9"/>
      <c r="C1303" s="7" t="s">
        <v>453</v>
      </c>
      <c r="D1303" s="17"/>
      <c r="E1303" s="218"/>
      <c r="F1303" s="218"/>
      <c r="G1303" s="218"/>
      <c r="H1303" s="218"/>
      <c r="I1303" s="218"/>
      <c r="J1303" s="218"/>
      <c r="K1303" s="218"/>
      <c r="L1303" s="218"/>
      <c r="M1303" s="277">
        <f>SUM(J1305:J1308)</f>
        <v>37.200000000000003</v>
      </c>
    </row>
    <row r="1304" spans="1:13" x14ac:dyDescent="0.2">
      <c r="A1304" s="231"/>
      <c r="B1304" s="9"/>
      <c r="C1304" s="7" t="s">
        <v>611</v>
      </c>
      <c r="D1304" s="17"/>
      <c r="E1304" s="218"/>
      <c r="F1304" s="218"/>
      <c r="G1304" s="218"/>
      <c r="H1304" s="218"/>
      <c r="I1304" s="139"/>
      <c r="J1304" s="218"/>
      <c r="K1304" s="218"/>
      <c r="L1304" s="218"/>
      <c r="M1304" s="277"/>
    </row>
    <row r="1305" spans="1:13" x14ac:dyDescent="0.2">
      <c r="A1305" s="231"/>
      <c r="B1305" s="9"/>
      <c r="C1305" s="7" t="s">
        <v>612</v>
      </c>
      <c r="D1305" s="17">
        <v>1</v>
      </c>
      <c r="E1305" s="218"/>
      <c r="F1305" s="218">
        <v>3</v>
      </c>
      <c r="G1305" s="218"/>
      <c r="H1305" s="218">
        <v>2.2000000000000002</v>
      </c>
      <c r="I1305" s="218">
        <v>1.6</v>
      </c>
      <c r="J1305" s="218">
        <f>I1305*H1305*F1305*D1305</f>
        <v>10.560000000000002</v>
      </c>
      <c r="K1305" s="218"/>
      <c r="L1305" s="218"/>
      <c r="M1305" s="277"/>
    </row>
    <row r="1306" spans="1:13" x14ac:dyDescent="0.2">
      <c r="A1306" s="231"/>
      <c r="B1306" s="9"/>
      <c r="C1306" s="7" t="s">
        <v>613</v>
      </c>
      <c r="D1306" s="17">
        <v>1</v>
      </c>
      <c r="E1306" s="218"/>
      <c r="F1306" s="218">
        <v>3</v>
      </c>
      <c r="G1306" s="218"/>
      <c r="H1306" s="218">
        <v>2.4</v>
      </c>
      <c r="I1306" s="218">
        <v>1.6</v>
      </c>
      <c r="J1306" s="218">
        <f>I1306*H1306*F1306*D1306</f>
        <v>11.52</v>
      </c>
      <c r="K1306" s="218"/>
      <c r="L1306" s="218"/>
      <c r="M1306" s="277"/>
    </row>
    <row r="1307" spans="1:13" x14ac:dyDescent="0.2">
      <c r="A1307" s="231"/>
      <c r="B1307" s="9"/>
      <c r="C1307" s="7" t="s">
        <v>614</v>
      </c>
      <c r="D1307" s="17">
        <v>1</v>
      </c>
      <c r="E1307" s="218"/>
      <c r="F1307" s="218">
        <v>3</v>
      </c>
      <c r="G1307" s="218"/>
      <c r="H1307" s="218">
        <v>0.8</v>
      </c>
      <c r="I1307" s="218">
        <v>2.1</v>
      </c>
      <c r="J1307" s="218">
        <f>I1307*H1307*F1307*D1307</f>
        <v>5.0400000000000009</v>
      </c>
      <c r="K1307" s="218"/>
      <c r="L1307" s="218"/>
      <c r="M1307" s="277"/>
    </row>
    <row r="1308" spans="1:13" x14ac:dyDescent="0.2">
      <c r="A1308" s="231"/>
      <c r="B1308" s="9"/>
      <c r="C1308" s="7" t="s">
        <v>615</v>
      </c>
      <c r="D1308" s="17">
        <v>1</v>
      </c>
      <c r="E1308" s="218"/>
      <c r="F1308" s="218">
        <v>3</v>
      </c>
      <c r="G1308" s="218"/>
      <c r="H1308" s="218">
        <v>1.6</v>
      </c>
      <c r="I1308" s="218">
        <v>2.1</v>
      </c>
      <c r="J1308" s="218">
        <f>I1308*H1308*F1308*D1308</f>
        <v>10.080000000000002</v>
      </c>
      <c r="K1308" s="218"/>
      <c r="L1308" s="218"/>
      <c r="M1308" s="281"/>
    </row>
    <row r="1309" spans="1:13" x14ac:dyDescent="0.2">
      <c r="A1309" s="231"/>
      <c r="B1309" s="9"/>
      <c r="C1309" s="7"/>
      <c r="D1309" s="17"/>
      <c r="E1309" s="218"/>
      <c r="F1309" s="218"/>
      <c r="G1309" s="218"/>
      <c r="H1309" s="218"/>
      <c r="I1309" s="139"/>
      <c r="J1309" s="218"/>
      <c r="K1309" s="218"/>
      <c r="L1309" s="218"/>
      <c r="M1309" s="281"/>
    </row>
    <row r="1310" spans="1:13" x14ac:dyDescent="0.2">
      <c r="A1310" s="231"/>
      <c r="B1310" s="9"/>
      <c r="C1310" s="7" t="s">
        <v>535</v>
      </c>
      <c r="D1310" s="17"/>
      <c r="E1310" s="218"/>
      <c r="F1310" s="218"/>
      <c r="G1310" s="218"/>
      <c r="H1310" s="218"/>
      <c r="I1310" s="218"/>
      <c r="J1310" s="218"/>
      <c r="K1310" s="218"/>
      <c r="L1310" s="218"/>
      <c r="M1310" s="277">
        <f>SUM(J1312:J1313,J1315:J1316)</f>
        <v>45.000000000000007</v>
      </c>
    </row>
    <row r="1311" spans="1:13" x14ac:dyDescent="0.2">
      <c r="A1311" s="231"/>
      <c r="B1311" s="9"/>
      <c r="C1311" s="7" t="s">
        <v>611</v>
      </c>
      <c r="D1311" s="17"/>
      <c r="E1311" s="218"/>
      <c r="F1311" s="218"/>
      <c r="G1311" s="218"/>
      <c r="H1311" s="218"/>
      <c r="I1311" s="218"/>
      <c r="J1311" s="218"/>
      <c r="K1311" s="218"/>
      <c r="L1311" s="218"/>
      <c r="M1311" s="281"/>
    </row>
    <row r="1312" spans="1:13" x14ac:dyDescent="0.2">
      <c r="A1312" s="231"/>
      <c r="B1312" s="9"/>
      <c r="C1312" s="7" t="s">
        <v>616</v>
      </c>
      <c r="D1312" s="17">
        <v>5</v>
      </c>
      <c r="E1312" s="218"/>
      <c r="F1312" s="218">
        <v>3</v>
      </c>
      <c r="G1312" s="218"/>
      <c r="H1312" s="218">
        <v>0.6</v>
      </c>
      <c r="I1312" s="218">
        <v>0.6</v>
      </c>
      <c r="J1312" s="218">
        <f>I1312*H1312*F1312*D1312</f>
        <v>5.4</v>
      </c>
      <c r="K1312" s="218"/>
      <c r="L1312" s="218"/>
      <c r="M1312" s="281"/>
    </row>
    <row r="1313" spans="1:13" x14ac:dyDescent="0.2">
      <c r="A1313" s="231"/>
      <c r="B1313" s="9"/>
      <c r="C1313" s="7" t="s">
        <v>626</v>
      </c>
      <c r="D1313" s="17">
        <v>1</v>
      </c>
      <c r="E1313" s="218"/>
      <c r="F1313" s="218">
        <v>3</v>
      </c>
      <c r="G1313" s="218"/>
      <c r="H1313" s="218">
        <v>3.6</v>
      </c>
      <c r="I1313" s="218">
        <v>1.8</v>
      </c>
      <c r="J1313" s="218">
        <f>I1313*H1313*F1313*D1313</f>
        <v>19.440000000000001</v>
      </c>
      <c r="K1313" s="218"/>
      <c r="L1313" s="218"/>
      <c r="M1313" s="281"/>
    </row>
    <row r="1314" spans="1:13" x14ac:dyDescent="0.2">
      <c r="A1314" s="231"/>
      <c r="B1314" s="9"/>
      <c r="C1314" s="7" t="s">
        <v>451</v>
      </c>
      <c r="D1314" s="17"/>
      <c r="E1314" s="218"/>
      <c r="F1314" s="218"/>
      <c r="G1314" s="218"/>
      <c r="H1314" s="218"/>
      <c r="I1314" s="218"/>
      <c r="J1314" s="218"/>
      <c r="K1314" s="218"/>
      <c r="L1314" s="218"/>
      <c r="M1314" s="281"/>
    </row>
    <row r="1315" spans="1:13" x14ac:dyDescent="0.2">
      <c r="A1315" s="231"/>
      <c r="B1315" s="9"/>
      <c r="C1315" s="7" t="s">
        <v>617</v>
      </c>
      <c r="D1315" s="17">
        <v>4</v>
      </c>
      <c r="E1315" s="218"/>
      <c r="F1315" s="218">
        <v>3</v>
      </c>
      <c r="G1315" s="218"/>
      <c r="H1315" s="218">
        <v>0.6</v>
      </c>
      <c r="I1315" s="218">
        <v>2.1</v>
      </c>
      <c r="J1315" s="218">
        <f>I1315*H1315*F1315*D1315</f>
        <v>15.120000000000001</v>
      </c>
      <c r="K1315" s="218"/>
      <c r="L1315" s="218"/>
      <c r="M1315" s="281"/>
    </row>
    <row r="1316" spans="1:13" x14ac:dyDescent="0.2">
      <c r="A1316" s="231"/>
      <c r="B1316" s="9"/>
      <c r="C1316" s="7" t="s">
        <v>618</v>
      </c>
      <c r="D1316" s="17">
        <v>1</v>
      </c>
      <c r="E1316" s="218"/>
      <c r="F1316" s="218">
        <v>3</v>
      </c>
      <c r="G1316" s="218"/>
      <c r="H1316" s="218">
        <v>0.8</v>
      </c>
      <c r="I1316" s="218">
        <v>2.1</v>
      </c>
      <c r="J1316" s="218">
        <f>I1316*H1316*F1316*D1316</f>
        <v>5.0400000000000009</v>
      </c>
      <c r="K1316" s="218"/>
      <c r="L1316" s="218"/>
      <c r="M1316" s="281"/>
    </row>
    <row r="1317" spans="1:13" x14ac:dyDescent="0.2">
      <c r="A1317" s="231"/>
      <c r="B1317" s="9"/>
      <c r="C1317" s="7"/>
      <c r="D1317" s="17"/>
      <c r="E1317" s="218"/>
      <c r="F1317" s="218"/>
      <c r="G1317" s="218"/>
      <c r="H1317" s="218"/>
      <c r="I1317" s="218"/>
      <c r="J1317" s="218"/>
      <c r="K1317" s="218"/>
      <c r="L1317" s="218"/>
      <c r="M1317" s="281"/>
    </row>
    <row r="1318" spans="1:13" x14ac:dyDescent="0.2">
      <c r="A1318" s="231"/>
      <c r="B1318" s="9"/>
      <c r="C1318" s="7" t="s">
        <v>536</v>
      </c>
      <c r="D1318" s="17"/>
      <c r="E1318" s="218"/>
      <c r="F1318" s="218"/>
      <c r="G1318" s="218"/>
      <c r="H1318" s="218"/>
      <c r="I1318" s="218"/>
      <c r="J1318" s="218"/>
      <c r="K1318" s="218"/>
      <c r="L1318" s="218"/>
      <c r="M1318" s="281"/>
    </row>
    <row r="1319" spans="1:13" x14ac:dyDescent="0.2">
      <c r="A1319" s="231"/>
      <c r="B1319" s="9"/>
      <c r="C1319" s="7" t="s">
        <v>619</v>
      </c>
      <c r="D1319" s="17"/>
      <c r="E1319" s="218"/>
      <c r="F1319" s="218"/>
      <c r="G1319" s="218"/>
      <c r="H1319" s="218"/>
      <c r="I1319" s="218"/>
      <c r="J1319" s="218"/>
      <c r="K1319" s="218"/>
      <c r="L1319" s="218"/>
      <c r="M1319" s="277">
        <f>SUM(J1320:J1321,J1323:J1326)</f>
        <v>55.440000000000012</v>
      </c>
    </row>
    <row r="1320" spans="1:13" x14ac:dyDescent="0.2">
      <c r="A1320" s="231"/>
      <c r="B1320" s="9"/>
      <c r="C1320" s="7" t="s">
        <v>620</v>
      </c>
      <c r="D1320" s="17">
        <v>2</v>
      </c>
      <c r="E1320" s="218"/>
      <c r="F1320" s="218">
        <v>3</v>
      </c>
      <c r="G1320" s="218"/>
      <c r="H1320" s="218">
        <v>1</v>
      </c>
      <c r="I1320" s="218">
        <v>0.6</v>
      </c>
      <c r="J1320" s="218">
        <f>I1320*H1320*F1320*D1320</f>
        <v>3.5999999999999996</v>
      </c>
      <c r="K1320" s="218"/>
      <c r="L1320" s="218"/>
      <c r="M1320" s="281"/>
    </row>
    <row r="1321" spans="1:13" x14ac:dyDescent="0.2">
      <c r="A1321" s="231"/>
      <c r="B1321" s="9"/>
      <c r="C1321" s="7" t="s">
        <v>625</v>
      </c>
      <c r="D1321" s="17">
        <v>1</v>
      </c>
      <c r="E1321" s="218"/>
      <c r="F1321" s="218">
        <v>3</v>
      </c>
      <c r="G1321" s="218"/>
      <c r="H1321" s="218">
        <v>1.2</v>
      </c>
      <c r="I1321" s="218">
        <v>1.8</v>
      </c>
      <c r="J1321" s="218">
        <f>I1321*H1321*F1321*D1321</f>
        <v>6.48</v>
      </c>
      <c r="K1321" s="218"/>
      <c r="L1321" s="218"/>
      <c r="M1321" s="281"/>
    </row>
    <row r="1322" spans="1:13" x14ac:dyDescent="0.2">
      <c r="A1322" s="231"/>
      <c r="B1322" s="9"/>
      <c r="C1322" s="7" t="s">
        <v>621</v>
      </c>
      <c r="D1322" s="17"/>
      <c r="E1322" s="218"/>
      <c r="F1322" s="218"/>
      <c r="G1322" s="218"/>
      <c r="H1322" s="218"/>
      <c r="I1322" s="218"/>
      <c r="J1322" s="218"/>
      <c r="K1322" s="218"/>
      <c r="L1322" s="218"/>
      <c r="M1322" s="281"/>
    </row>
    <row r="1323" spans="1:13" x14ac:dyDescent="0.2">
      <c r="A1323" s="231"/>
      <c r="B1323" s="9"/>
      <c r="C1323" s="7" t="s">
        <v>622</v>
      </c>
      <c r="D1323" s="17">
        <v>3</v>
      </c>
      <c r="E1323" s="218"/>
      <c r="F1323" s="218">
        <v>3</v>
      </c>
      <c r="G1323" s="218"/>
      <c r="H1323" s="218">
        <v>0.6</v>
      </c>
      <c r="I1323" s="218">
        <v>2.1</v>
      </c>
      <c r="J1323" s="218">
        <f>I1323*H1323*F1323*D1323</f>
        <v>11.34</v>
      </c>
      <c r="K1323" s="218"/>
      <c r="L1323" s="218"/>
      <c r="M1323" s="281"/>
    </row>
    <row r="1324" spans="1:13" x14ac:dyDescent="0.2">
      <c r="A1324" s="231"/>
      <c r="B1324" s="9"/>
      <c r="C1324" s="7" t="s">
        <v>623</v>
      </c>
      <c r="D1324" s="17">
        <v>4</v>
      </c>
      <c r="E1324" s="218"/>
      <c r="F1324" s="218">
        <v>3</v>
      </c>
      <c r="G1324" s="218"/>
      <c r="H1324" s="218">
        <v>0.8</v>
      </c>
      <c r="I1324" s="218">
        <v>2.1</v>
      </c>
      <c r="J1324" s="218">
        <f>I1324*H1324*F1324*D1324</f>
        <v>20.160000000000004</v>
      </c>
      <c r="K1324" s="218"/>
      <c r="L1324" s="218"/>
      <c r="M1324" s="281"/>
    </row>
    <row r="1325" spans="1:13" x14ac:dyDescent="0.2">
      <c r="A1325" s="231"/>
      <c r="B1325" s="9"/>
      <c r="C1325" s="7" t="s">
        <v>624</v>
      </c>
      <c r="D1325" s="17">
        <v>1</v>
      </c>
      <c r="E1325" s="218"/>
      <c r="F1325" s="218">
        <v>3</v>
      </c>
      <c r="G1325" s="218"/>
      <c r="H1325" s="218">
        <v>1</v>
      </c>
      <c r="I1325" s="218">
        <v>2.1</v>
      </c>
      <c r="J1325" s="218">
        <f>I1325*H1325*F1325*D1325</f>
        <v>6.3000000000000007</v>
      </c>
      <c r="K1325" s="218"/>
      <c r="L1325" s="218"/>
      <c r="M1325" s="281"/>
    </row>
    <row r="1326" spans="1:13" x14ac:dyDescent="0.2">
      <c r="A1326" s="231"/>
      <c r="B1326" s="9"/>
      <c r="C1326" s="7" t="s">
        <v>627</v>
      </c>
      <c r="D1326" s="17">
        <v>1</v>
      </c>
      <c r="E1326" s="218"/>
      <c r="F1326" s="218">
        <v>3</v>
      </c>
      <c r="G1326" s="218"/>
      <c r="H1326" s="218">
        <v>1.2</v>
      </c>
      <c r="I1326" s="218">
        <v>2.1</v>
      </c>
      <c r="J1326" s="218">
        <f>I1326*H1326*F1326*D1326</f>
        <v>7.5600000000000005</v>
      </c>
      <c r="K1326" s="218"/>
      <c r="L1326" s="218"/>
      <c r="M1326" s="281"/>
    </row>
    <row r="1327" spans="1:13" x14ac:dyDescent="0.2">
      <c r="A1327" s="231"/>
      <c r="B1327" s="9"/>
      <c r="C1327" s="7"/>
      <c r="D1327" s="17"/>
      <c r="E1327" s="218"/>
      <c r="F1327" s="218"/>
      <c r="G1327" s="218"/>
      <c r="H1327" s="218"/>
      <c r="I1327" s="218"/>
      <c r="J1327" s="218"/>
      <c r="K1327" s="218"/>
      <c r="L1327" s="218"/>
      <c r="M1327" s="281"/>
    </row>
    <row r="1328" spans="1:13" x14ac:dyDescent="0.2">
      <c r="A1328" s="231"/>
      <c r="B1328" s="9"/>
      <c r="C1328" s="7" t="s">
        <v>491</v>
      </c>
      <c r="D1328" s="17"/>
      <c r="E1328" s="218"/>
      <c r="F1328" s="218"/>
      <c r="G1328" s="218"/>
      <c r="H1328" s="218"/>
      <c r="I1328" s="218"/>
      <c r="J1328" s="218"/>
      <c r="K1328" s="218"/>
      <c r="L1328" s="218"/>
      <c r="M1328" s="277">
        <f>SUM(J1330)</f>
        <v>158.4</v>
      </c>
    </row>
    <row r="1329" spans="1:13" x14ac:dyDescent="0.2">
      <c r="A1329" s="231"/>
      <c r="B1329" s="9"/>
      <c r="C1329" s="7" t="s">
        <v>628</v>
      </c>
      <c r="D1329" s="17"/>
      <c r="E1329" s="218"/>
      <c r="F1329" s="218"/>
      <c r="G1329" s="218"/>
      <c r="H1329" s="218"/>
      <c r="I1329" s="218"/>
      <c r="J1329" s="218"/>
      <c r="K1329" s="218"/>
      <c r="L1329" s="218"/>
      <c r="M1329" s="281"/>
    </row>
    <row r="1330" spans="1:13" x14ac:dyDescent="0.2">
      <c r="A1330" s="231"/>
      <c r="B1330" s="9"/>
      <c r="C1330" s="7" t="s">
        <v>629</v>
      </c>
      <c r="D1330" s="17">
        <v>3</v>
      </c>
      <c r="E1330" s="218"/>
      <c r="F1330" s="218">
        <v>3</v>
      </c>
      <c r="G1330" s="218"/>
      <c r="H1330" s="218">
        <v>4.4000000000000004</v>
      </c>
      <c r="I1330" s="218">
        <v>4</v>
      </c>
      <c r="J1330" s="218">
        <f>I1330*H1330*F1330*D1330</f>
        <v>158.4</v>
      </c>
      <c r="K1330" s="218"/>
      <c r="L1330" s="218"/>
      <c r="M1330" s="281"/>
    </row>
    <row r="1331" spans="1:13" x14ac:dyDescent="0.2">
      <c r="A1331" s="231"/>
      <c r="B1331" s="9"/>
      <c r="C1331" s="7"/>
      <c r="D1331" s="17"/>
      <c r="E1331" s="218"/>
      <c r="F1331" s="218"/>
      <c r="G1331" s="218"/>
      <c r="H1331" s="218"/>
      <c r="I1331" s="218"/>
      <c r="J1331" s="218"/>
      <c r="K1331" s="218"/>
      <c r="L1331" s="218"/>
      <c r="M1331" s="281"/>
    </row>
    <row r="1332" spans="1:13" x14ac:dyDescent="0.2">
      <c r="A1332" s="236"/>
      <c r="B1332" s="327"/>
      <c r="C1332" s="328" t="s">
        <v>674</v>
      </c>
      <c r="D1332" s="329"/>
      <c r="E1332" s="354"/>
      <c r="F1332" s="354"/>
      <c r="G1332" s="354"/>
      <c r="H1332" s="354"/>
      <c r="I1332" s="354"/>
      <c r="J1332" s="354"/>
      <c r="K1332" s="354"/>
      <c r="L1332" s="354"/>
      <c r="M1332" s="360">
        <f>SUM(J1333:J1336)</f>
        <v>37.19</v>
      </c>
    </row>
    <row r="1333" spans="1:13" x14ac:dyDescent="0.2">
      <c r="A1333" s="231"/>
      <c r="B1333" s="9"/>
      <c r="C1333" s="7" t="s">
        <v>702</v>
      </c>
      <c r="D1333" s="17"/>
      <c r="E1333" s="218"/>
      <c r="F1333" s="218">
        <v>29.4</v>
      </c>
      <c r="G1333" s="218"/>
      <c r="H1333" s="218"/>
      <c r="I1333" s="218">
        <v>0.8</v>
      </c>
      <c r="J1333" s="218">
        <f>F1333*I1333</f>
        <v>23.52</v>
      </c>
      <c r="K1333" s="218"/>
      <c r="L1333" s="218"/>
      <c r="M1333" s="281"/>
    </row>
    <row r="1334" spans="1:13" x14ac:dyDescent="0.2">
      <c r="A1334" s="231"/>
      <c r="B1334" s="9"/>
      <c r="C1334" s="7"/>
      <c r="D1334" s="17"/>
      <c r="E1334" s="218"/>
      <c r="F1334" s="218">
        <v>4</v>
      </c>
      <c r="G1334" s="218"/>
      <c r="H1334" s="218"/>
      <c r="I1334" s="218">
        <v>2.5</v>
      </c>
      <c r="J1334" s="218">
        <f>F1334*I1334</f>
        <v>10</v>
      </c>
      <c r="K1334" s="218"/>
      <c r="L1334" s="218"/>
      <c r="M1334" s="281"/>
    </row>
    <row r="1335" spans="1:13" x14ac:dyDescent="0.2">
      <c r="A1335" s="235"/>
      <c r="B1335" s="9"/>
      <c r="C1335" s="7" t="s">
        <v>703</v>
      </c>
      <c r="D1335" s="17"/>
      <c r="E1335" s="218"/>
      <c r="F1335" s="218"/>
      <c r="G1335" s="218"/>
      <c r="H1335" s="218"/>
      <c r="I1335" s="218"/>
      <c r="J1335" s="218">
        <v>2.0699999999999998</v>
      </c>
      <c r="K1335" s="218"/>
      <c r="L1335" s="218"/>
      <c r="M1335" s="273"/>
    </row>
    <row r="1336" spans="1:13" ht="24" x14ac:dyDescent="0.2">
      <c r="A1336" s="235"/>
      <c r="B1336" s="9"/>
      <c r="C1336" s="7" t="s">
        <v>704</v>
      </c>
      <c r="D1336" s="17"/>
      <c r="E1336" s="218"/>
      <c r="F1336" s="218"/>
      <c r="G1336" s="218"/>
      <c r="H1336" s="218"/>
      <c r="I1336" s="218"/>
      <c r="J1336" s="218">
        <v>1.6</v>
      </c>
      <c r="K1336" s="218"/>
      <c r="L1336" s="218"/>
      <c r="M1336" s="273"/>
    </row>
    <row r="1337" spans="1:13" x14ac:dyDescent="0.2">
      <c r="A1337" s="235"/>
      <c r="B1337" s="9"/>
      <c r="C1337" s="7"/>
      <c r="D1337" s="17"/>
      <c r="E1337" s="218"/>
      <c r="F1337" s="218"/>
      <c r="G1337" s="218"/>
      <c r="H1337" s="218"/>
      <c r="I1337" s="218"/>
      <c r="J1337" s="218"/>
      <c r="K1337" s="218"/>
      <c r="L1337" s="218"/>
      <c r="M1337" s="273"/>
    </row>
    <row r="1338" spans="1:13" x14ac:dyDescent="0.2">
      <c r="A1338" s="235"/>
      <c r="B1338" s="9"/>
      <c r="C1338" s="7"/>
      <c r="D1338" s="17"/>
      <c r="E1338" s="218"/>
      <c r="F1338" s="218"/>
      <c r="G1338" s="218"/>
      <c r="H1338" s="218"/>
      <c r="I1338" s="218"/>
      <c r="J1338" s="218"/>
      <c r="K1338" s="218"/>
      <c r="L1338" s="218"/>
      <c r="M1338" s="273"/>
    </row>
    <row r="1339" spans="1:13" ht="48" x14ac:dyDescent="0.2">
      <c r="A1339" s="231" t="s">
        <v>675</v>
      </c>
      <c r="B1339" s="9" t="s">
        <v>382</v>
      </c>
      <c r="C1339" s="7" t="s">
        <v>676</v>
      </c>
      <c r="D1339" s="17" t="s">
        <v>45</v>
      </c>
      <c r="E1339" s="218"/>
      <c r="F1339" s="218"/>
      <c r="G1339" s="218"/>
      <c r="H1339" s="218"/>
      <c r="I1339" s="218"/>
      <c r="J1339" s="218"/>
      <c r="K1339" s="218"/>
      <c r="L1339" s="218"/>
      <c r="M1339" s="272">
        <f>SUM(M1340,M1345,M1349,M1352)</f>
        <v>338.3</v>
      </c>
    </row>
    <row r="1340" spans="1:13" x14ac:dyDescent="0.2">
      <c r="A1340" s="231"/>
      <c r="B1340" s="9"/>
      <c r="C1340" s="7" t="s">
        <v>721</v>
      </c>
      <c r="D1340" s="17"/>
      <c r="E1340" s="218"/>
      <c r="F1340" s="218"/>
      <c r="G1340" s="218"/>
      <c r="H1340" s="218"/>
      <c r="I1340" s="218"/>
      <c r="J1340" s="218"/>
      <c r="K1340" s="218"/>
      <c r="L1340" s="218"/>
      <c r="M1340" s="277">
        <f>SUM(M1341:M1343)</f>
        <v>101.9</v>
      </c>
    </row>
    <row r="1341" spans="1:13" x14ac:dyDescent="0.2">
      <c r="A1341" s="231"/>
      <c r="B1341" s="9"/>
      <c r="C1341" s="7" t="s">
        <v>720</v>
      </c>
      <c r="D1341" s="17"/>
      <c r="E1341" s="218"/>
      <c r="F1341" s="218"/>
      <c r="G1341" s="218">
        <v>73.2</v>
      </c>
      <c r="H1341" s="218"/>
      <c r="I1341" s="218"/>
      <c r="J1341" s="218"/>
      <c r="K1341" s="218"/>
      <c r="L1341" s="218"/>
      <c r="M1341" s="281">
        <f>G1341</f>
        <v>73.2</v>
      </c>
    </row>
    <row r="1342" spans="1:13" x14ac:dyDescent="0.2">
      <c r="A1342" s="231"/>
      <c r="B1342" s="9"/>
      <c r="C1342" s="7" t="s">
        <v>722</v>
      </c>
      <c r="D1342" s="17"/>
      <c r="E1342" s="218"/>
      <c r="F1342" s="218"/>
      <c r="G1342" s="218">
        <v>14.5</v>
      </c>
      <c r="H1342" s="218"/>
      <c r="I1342" s="218"/>
      <c r="J1342" s="218"/>
      <c r="K1342" s="218"/>
      <c r="L1342" s="218"/>
      <c r="M1342" s="281">
        <f>G1342</f>
        <v>14.5</v>
      </c>
    </row>
    <row r="1343" spans="1:13" x14ac:dyDescent="0.2">
      <c r="A1343" s="231"/>
      <c r="B1343" s="9"/>
      <c r="C1343" s="7" t="s">
        <v>723</v>
      </c>
      <c r="D1343" s="17"/>
      <c r="E1343" s="218"/>
      <c r="F1343" s="218"/>
      <c r="G1343" s="218">
        <v>14.2</v>
      </c>
      <c r="H1343" s="218"/>
      <c r="I1343" s="218"/>
      <c r="J1343" s="218"/>
      <c r="K1343" s="218"/>
      <c r="L1343" s="218"/>
      <c r="M1343" s="281">
        <f>G1343</f>
        <v>14.2</v>
      </c>
    </row>
    <row r="1344" spans="1:13" x14ac:dyDescent="0.2">
      <c r="A1344" s="231"/>
      <c r="B1344" s="9"/>
      <c r="C1344" s="7"/>
      <c r="D1344" s="17"/>
      <c r="E1344" s="218"/>
      <c r="F1344" s="218"/>
      <c r="G1344" s="218"/>
      <c r="H1344" s="218"/>
      <c r="I1344" s="218"/>
      <c r="J1344" s="218"/>
      <c r="K1344" s="218"/>
      <c r="L1344" s="218"/>
      <c r="M1344" s="277"/>
    </row>
    <row r="1345" spans="1:13" x14ac:dyDescent="0.2">
      <c r="A1345" s="231"/>
      <c r="B1345" s="9"/>
      <c r="C1345" s="7" t="s">
        <v>436</v>
      </c>
      <c r="D1345" s="17"/>
      <c r="E1345" s="218"/>
      <c r="F1345" s="218"/>
      <c r="G1345" s="218"/>
      <c r="H1345" s="218"/>
      <c r="I1345" s="218"/>
      <c r="J1345" s="218"/>
      <c r="K1345" s="218"/>
      <c r="L1345" s="218"/>
      <c r="M1345" s="277">
        <f>SUM(M1346:M1347)</f>
        <v>75.55</v>
      </c>
    </row>
    <row r="1346" spans="1:13" x14ac:dyDescent="0.2">
      <c r="A1346" s="231"/>
      <c r="B1346" s="9"/>
      <c r="C1346" s="7" t="s">
        <v>724</v>
      </c>
      <c r="D1346" s="17"/>
      <c r="E1346" s="218"/>
      <c r="F1346" s="218"/>
      <c r="G1346" s="218">
        <v>61</v>
      </c>
      <c r="H1346" s="218"/>
      <c r="I1346" s="218"/>
      <c r="J1346" s="218"/>
      <c r="K1346" s="218"/>
      <c r="L1346" s="218"/>
      <c r="M1346" s="281">
        <f>G1346</f>
        <v>61</v>
      </c>
    </row>
    <row r="1347" spans="1:13" x14ac:dyDescent="0.2">
      <c r="A1347" s="231"/>
      <c r="B1347" s="9"/>
      <c r="C1347" s="7" t="s">
        <v>725</v>
      </c>
      <c r="D1347" s="17"/>
      <c r="E1347" s="218"/>
      <c r="F1347" s="218"/>
      <c r="G1347" s="218">
        <v>14.55</v>
      </c>
      <c r="H1347" s="218"/>
      <c r="I1347" s="218"/>
      <c r="J1347" s="218"/>
      <c r="K1347" s="218"/>
      <c r="L1347" s="218"/>
      <c r="M1347" s="281">
        <f>G1347</f>
        <v>14.55</v>
      </c>
    </row>
    <row r="1348" spans="1:13" x14ac:dyDescent="0.2">
      <c r="A1348" s="231"/>
      <c r="B1348" s="9"/>
      <c r="C1348" s="7"/>
      <c r="D1348" s="17"/>
      <c r="E1348" s="218"/>
      <c r="F1348" s="218"/>
      <c r="G1348" s="218"/>
      <c r="H1348" s="218"/>
      <c r="I1348" s="218"/>
      <c r="J1348" s="218"/>
      <c r="K1348" s="218"/>
      <c r="L1348" s="218"/>
      <c r="M1348" s="281"/>
    </row>
    <row r="1349" spans="1:13" x14ac:dyDescent="0.2">
      <c r="A1349" s="231"/>
      <c r="B1349" s="9"/>
      <c r="C1349" s="7" t="s">
        <v>439</v>
      </c>
      <c r="D1349" s="17"/>
      <c r="E1349" s="218"/>
      <c r="F1349" s="218"/>
      <c r="G1349" s="218"/>
      <c r="H1349" s="218"/>
      <c r="I1349" s="218"/>
      <c r="J1349" s="218"/>
      <c r="K1349" s="218"/>
      <c r="L1349" s="218"/>
      <c r="M1349" s="277">
        <f>SUM(M1350)</f>
        <v>41.5</v>
      </c>
    </row>
    <row r="1350" spans="1:13" x14ac:dyDescent="0.2">
      <c r="A1350" s="231"/>
      <c r="B1350" s="9"/>
      <c r="C1350" s="7" t="s">
        <v>203</v>
      </c>
      <c r="D1350" s="17"/>
      <c r="E1350" s="218"/>
      <c r="F1350" s="218"/>
      <c r="G1350" s="218">
        <v>41.5</v>
      </c>
      <c r="H1350" s="218"/>
      <c r="I1350" s="218"/>
      <c r="J1350" s="218"/>
      <c r="K1350" s="218"/>
      <c r="L1350" s="218"/>
      <c r="M1350" s="281">
        <f>G1350</f>
        <v>41.5</v>
      </c>
    </row>
    <row r="1351" spans="1:13" x14ac:dyDescent="0.2">
      <c r="A1351" s="231"/>
      <c r="B1351" s="9"/>
      <c r="C1351" s="7"/>
      <c r="D1351" s="17"/>
      <c r="E1351" s="218"/>
      <c r="F1351" s="218"/>
      <c r="G1351" s="218"/>
      <c r="H1351" s="218"/>
      <c r="I1351" s="218"/>
      <c r="J1351" s="218"/>
      <c r="K1351" s="218"/>
      <c r="L1351" s="218"/>
      <c r="M1351" s="281"/>
    </row>
    <row r="1352" spans="1:13" x14ac:dyDescent="0.2">
      <c r="A1352" s="231"/>
      <c r="B1352" s="9"/>
      <c r="C1352" s="7" t="s">
        <v>440</v>
      </c>
      <c r="D1352" s="17"/>
      <c r="E1352" s="218"/>
      <c r="F1352" s="218"/>
      <c r="G1352" s="218"/>
      <c r="H1352" s="218"/>
      <c r="I1352" s="218"/>
      <c r="J1352" s="218"/>
      <c r="K1352" s="218"/>
      <c r="L1352" s="218"/>
      <c r="M1352" s="277">
        <f>SUM(M1353:M1358)</f>
        <v>119.35000000000001</v>
      </c>
    </row>
    <row r="1353" spans="1:13" x14ac:dyDescent="0.2">
      <c r="A1353" s="231"/>
      <c r="B1353" s="9"/>
      <c r="C1353" s="7" t="s">
        <v>218</v>
      </c>
      <c r="D1353" s="17"/>
      <c r="E1353" s="218"/>
      <c r="F1353" s="218"/>
      <c r="G1353" s="218">
        <v>17</v>
      </c>
      <c r="H1353" s="218"/>
      <c r="I1353" s="218"/>
      <c r="J1353" s="218"/>
      <c r="K1353" s="218"/>
      <c r="L1353" s="218"/>
      <c r="M1353" s="281">
        <f t="shared" ref="M1353:M1358" si="5">G1353</f>
        <v>17</v>
      </c>
    </row>
    <row r="1354" spans="1:13" x14ac:dyDescent="0.2">
      <c r="A1354" s="231"/>
      <c r="B1354" s="9"/>
      <c r="C1354" s="7" t="s">
        <v>726</v>
      </c>
      <c r="D1354" s="17"/>
      <c r="E1354" s="218"/>
      <c r="F1354" s="218"/>
      <c r="G1354" s="218">
        <v>20.5</v>
      </c>
      <c r="H1354" s="218"/>
      <c r="I1354" s="218"/>
      <c r="J1354" s="218"/>
      <c r="K1354" s="218"/>
      <c r="L1354" s="218"/>
      <c r="M1354" s="281">
        <f t="shared" si="5"/>
        <v>20.5</v>
      </c>
    </row>
    <row r="1355" spans="1:13" x14ac:dyDescent="0.2">
      <c r="A1355" s="231"/>
      <c r="B1355" s="9"/>
      <c r="C1355" s="7" t="s">
        <v>396</v>
      </c>
      <c r="D1355" s="17"/>
      <c r="E1355" s="218"/>
      <c r="F1355" s="218"/>
      <c r="G1355" s="218">
        <v>11</v>
      </c>
      <c r="H1355" s="218"/>
      <c r="I1355" s="218"/>
      <c r="J1355" s="218"/>
      <c r="K1355" s="218"/>
      <c r="L1355" s="218"/>
      <c r="M1355" s="281">
        <f t="shared" si="5"/>
        <v>11</v>
      </c>
    </row>
    <row r="1356" spans="1:13" x14ac:dyDescent="0.2">
      <c r="A1356" s="231"/>
      <c r="B1356" s="9"/>
      <c r="C1356" s="7" t="s">
        <v>223</v>
      </c>
      <c r="D1356" s="17"/>
      <c r="E1356" s="218"/>
      <c r="F1356" s="218"/>
      <c r="G1356" s="218">
        <v>15.2</v>
      </c>
      <c r="H1356" s="218"/>
      <c r="I1356" s="218"/>
      <c r="J1356" s="218"/>
      <c r="K1356" s="218"/>
      <c r="L1356" s="218"/>
      <c r="M1356" s="281">
        <f t="shared" si="5"/>
        <v>15.2</v>
      </c>
    </row>
    <row r="1357" spans="1:13" x14ac:dyDescent="0.2">
      <c r="A1357" s="231"/>
      <c r="B1357" s="9"/>
      <c r="C1357" s="7" t="s">
        <v>727</v>
      </c>
      <c r="D1357" s="17"/>
      <c r="E1357" s="218"/>
      <c r="F1357" s="218"/>
      <c r="G1357" s="218">
        <v>28.2</v>
      </c>
      <c r="H1357" s="218"/>
      <c r="I1357" s="218"/>
      <c r="J1357" s="218"/>
      <c r="K1357" s="218"/>
      <c r="L1357" s="218"/>
      <c r="M1357" s="281">
        <f t="shared" si="5"/>
        <v>28.2</v>
      </c>
    </row>
    <row r="1358" spans="1:13" x14ac:dyDescent="0.2">
      <c r="A1358" s="231"/>
      <c r="B1358" s="9"/>
      <c r="C1358" s="7" t="s">
        <v>722</v>
      </c>
      <c r="D1358" s="17"/>
      <c r="E1358" s="218"/>
      <c r="F1358" s="218"/>
      <c r="G1358" s="218">
        <v>27.45</v>
      </c>
      <c r="H1358" s="218"/>
      <c r="I1358" s="218"/>
      <c r="J1358" s="218"/>
      <c r="K1358" s="218"/>
      <c r="L1358" s="218"/>
      <c r="M1358" s="281">
        <f t="shared" si="5"/>
        <v>27.45</v>
      </c>
    </row>
    <row r="1359" spans="1:13" x14ac:dyDescent="0.2">
      <c r="A1359" s="231"/>
      <c r="B1359" s="9"/>
      <c r="C1359" s="7"/>
      <c r="D1359" s="17"/>
      <c r="E1359" s="218"/>
      <c r="F1359" s="218"/>
      <c r="G1359" s="218"/>
      <c r="H1359" s="218"/>
      <c r="I1359" s="218"/>
      <c r="J1359" s="218"/>
      <c r="K1359" s="218"/>
      <c r="L1359" s="218"/>
      <c r="M1359" s="281"/>
    </row>
    <row r="1360" spans="1:13" x14ac:dyDescent="0.2">
      <c r="A1360" s="231"/>
      <c r="B1360" s="9"/>
      <c r="C1360" s="7"/>
      <c r="D1360" s="17"/>
      <c r="E1360" s="218"/>
      <c r="F1360" s="218"/>
      <c r="G1360" s="218"/>
      <c r="H1360" s="218"/>
      <c r="I1360" s="218"/>
      <c r="J1360" s="218"/>
      <c r="K1360" s="218"/>
      <c r="L1360" s="218"/>
      <c r="M1360" s="281"/>
    </row>
    <row r="1361" spans="1:13" x14ac:dyDescent="0.2">
      <c r="A1361" s="274"/>
      <c r="B1361" s="29" t="s">
        <v>132</v>
      </c>
      <c r="C1361" s="30" t="s">
        <v>127</v>
      </c>
      <c r="D1361" s="31"/>
      <c r="E1361" s="31"/>
      <c r="F1361" s="31"/>
      <c r="G1361" s="31"/>
      <c r="H1361" s="31"/>
      <c r="I1361" s="31"/>
      <c r="J1361" s="31"/>
      <c r="K1361" s="31"/>
      <c r="L1361" s="31"/>
      <c r="M1361" s="275"/>
    </row>
    <row r="1362" spans="1:13" ht="36" x14ac:dyDescent="0.2">
      <c r="A1362" s="231" t="s">
        <v>678</v>
      </c>
      <c r="B1362" s="9" t="s">
        <v>314</v>
      </c>
      <c r="C1362" s="7" t="s">
        <v>679</v>
      </c>
      <c r="D1362" s="17" t="s">
        <v>16</v>
      </c>
      <c r="E1362" s="218"/>
      <c r="F1362" s="218"/>
      <c r="G1362" s="218"/>
      <c r="H1362" s="218"/>
      <c r="I1362" s="218"/>
      <c r="J1362" s="218"/>
      <c r="K1362" s="218"/>
      <c r="L1362" s="218"/>
      <c r="M1362" s="272">
        <f>SUM(M1363)</f>
        <v>1</v>
      </c>
    </row>
    <row r="1363" spans="1:13" x14ac:dyDescent="0.2">
      <c r="A1363" s="231"/>
      <c r="B1363" s="9"/>
      <c r="C1363" s="7" t="s">
        <v>150</v>
      </c>
      <c r="D1363" s="17"/>
      <c r="E1363" s="218">
        <v>1</v>
      </c>
      <c r="F1363" s="218"/>
      <c r="G1363" s="218"/>
      <c r="H1363" s="218"/>
      <c r="I1363" s="218"/>
      <c r="J1363" s="218"/>
      <c r="K1363" s="218"/>
      <c r="L1363" s="218"/>
      <c r="M1363" s="277">
        <f>E1363</f>
        <v>1</v>
      </c>
    </row>
    <row r="1364" spans="1:13" x14ac:dyDescent="0.2">
      <c r="A1364" s="231"/>
      <c r="B1364" s="9"/>
      <c r="C1364" s="7"/>
      <c r="D1364" s="17"/>
      <c r="E1364" s="218"/>
      <c r="F1364" s="218"/>
      <c r="G1364" s="218"/>
      <c r="H1364" s="218"/>
      <c r="I1364" s="218"/>
      <c r="J1364" s="218"/>
      <c r="K1364" s="218"/>
      <c r="L1364" s="218"/>
      <c r="M1364" s="281"/>
    </row>
    <row r="1365" spans="1:13" x14ac:dyDescent="0.2">
      <c r="A1365" s="231"/>
      <c r="B1365" s="9"/>
      <c r="C1365" s="7"/>
      <c r="D1365" s="17"/>
      <c r="E1365" s="218"/>
      <c r="F1365" s="218"/>
      <c r="G1365" s="218"/>
      <c r="H1365" s="218"/>
      <c r="I1365" s="218"/>
      <c r="J1365" s="218"/>
      <c r="K1365" s="218"/>
      <c r="L1365" s="218"/>
      <c r="M1365" s="281"/>
    </row>
    <row r="1366" spans="1:13" ht="36" x14ac:dyDescent="0.2">
      <c r="A1366" s="231" t="s">
        <v>144</v>
      </c>
      <c r="B1366" s="9" t="s">
        <v>1023</v>
      </c>
      <c r="C1366" s="7" t="s">
        <v>145</v>
      </c>
      <c r="D1366" s="17" t="s">
        <v>16</v>
      </c>
      <c r="E1366" s="218"/>
      <c r="F1366" s="218"/>
      <c r="G1366" s="218"/>
      <c r="H1366" s="218"/>
      <c r="I1366" s="218"/>
      <c r="J1366" s="218"/>
      <c r="K1366" s="218"/>
      <c r="L1366" s="218"/>
      <c r="M1366" s="272">
        <f>SUM(M1367)</f>
        <v>1</v>
      </c>
    </row>
    <row r="1367" spans="1:13" x14ac:dyDescent="0.2">
      <c r="A1367" s="231"/>
      <c r="B1367" s="9"/>
      <c r="C1367" s="7" t="s">
        <v>150</v>
      </c>
      <c r="D1367" s="17"/>
      <c r="E1367" s="218"/>
      <c r="F1367" s="218"/>
      <c r="G1367" s="218"/>
      <c r="H1367" s="218"/>
      <c r="I1367" s="218"/>
      <c r="J1367" s="218"/>
      <c r="K1367" s="218"/>
      <c r="L1367" s="218"/>
      <c r="M1367" s="277">
        <f>SUM(M1368)</f>
        <v>1</v>
      </c>
    </row>
    <row r="1368" spans="1:13" x14ac:dyDescent="0.2">
      <c r="A1368" s="231"/>
      <c r="B1368" s="9"/>
      <c r="C1368" s="7" t="s">
        <v>658</v>
      </c>
      <c r="D1368" s="17"/>
      <c r="E1368" s="218">
        <v>1</v>
      </c>
      <c r="F1368" s="218"/>
      <c r="G1368" s="218"/>
      <c r="H1368" s="218"/>
      <c r="I1368" s="218"/>
      <c r="J1368" s="218"/>
      <c r="K1368" s="218"/>
      <c r="L1368" s="218"/>
      <c r="M1368" s="281">
        <f>E1368</f>
        <v>1</v>
      </c>
    </row>
    <row r="1369" spans="1:13" x14ac:dyDescent="0.2">
      <c r="A1369" s="231"/>
      <c r="B1369" s="9"/>
      <c r="C1369" s="7"/>
      <c r="D1369" s="17"/>
      <c r="E1369" s="218"/>
      <c r="F1369" s="218"/>
      <c r="G1369" s="218"/>
      <c r="H1369" s="218"/>
      <c r="I1369" s="218"/>
      <c r="J1369" s="218"/>
      <c r="K1369" s="218"/>
      <c r="L1369" s="218"/>
      <c r="M1369" s="281"/>
    </row>
    <row r="1370" spans="1:13" x14ac:dyDescent="0.2">
      <c r="A1370" s="231"/>
      <c r="B1370" s="9"/>
      <c r="C1370" s="7"/>
      <c r="D1370" s="17"/>
      <c r="E1370" s="218"/>
      <c r="F1370" s="218"/>
      <c r="G1370" s="218"/>
      <c r="H1370" s="218"/>
      <c r="I1370" s="218"/>
      <c r="J1370" s="218"/>
      <c r="K1370" s="218"/>
      <c r="L1370" s="218"/>
      <c r="M1370" s="277"/>
    </row>
    <row r="1371" spans="1:13" ht="60" x14ac:dyDescent="0.2">
      <c r="A1371" s="231" t="s">
        <v>680</v>
      </c>
      <c r="B1371" s="9" t="s">
        <v>1024</v>
      </c>
      <c r="C1371" s="7" t="s">
        <v>681</v>
      </c>
      <c r="D1371" s="17" t="s">
        <v>17</v>
      </c>
      <c r="E1371" s="218"/>
      <c r="F1371" s="218"/>
      <c r="G1371" s="218"/>
      <c r="H1371" s="218"/>
      <c r="I1371" s="218"/>
      <c r="J1371" s="218"/>
      <c r="K1371" s="218"/>
      <c r="L1371" s="218"/>
      <c r="M1371" s="272">
        <f>SUM(M1372,M1375,M1380)</f>
        <v>4.8890000000000002</v>
      </c>
    </row>
    <row r="1372" spans="1:13" x14ac:dyDescent="0.2">
      <c r="A1372" s="231"/>
      <c r="B1372" s="9"/>
      <c r="C1372" s="7" t="s">
        <v>150</v>
      </c>
      <c r="D1372" s="17"/>
      <c r="E1372" s="218"/>
      <c r="F1372" s="218"/>
      <c r="G1372" s="218"/>
      <c r="H1372" s="218"/>
      <c r="I1372" s="218"/>
      <c r="J1372" s="218"/>
      <c r="K1372" s="218"/>
      <c r="L1372" s="218"/>
      <c r="M1372" s="277">
        <f>SUM(M1373)</f>
        <v>1.2</v>
      </c>
    </row>
    <row r="1373" spans="1:13" x14ac:dyDescent="0.2">
      <c r="A1373" s="231"/>
      <c r="B1373" s="9"/>
      <c r="C1373" s="7" t="s">
        <v>658</v>
      </c>
      <c r="D1373" s="17"/>
      <c r="E1373" s="218"/>
      <c r="F1373" s="218">
        <v>2</v>
      </c>
      <c r="G1373" s="218"/>
      <c r="H1373" s="218">
        <v>0.6</v>
      </c>
      <c r="I1373" s="218"/>
      <c r="J1373" s="218"/>
      <c r="K1373" s="218"/>
      <c r="L1373" s="218"/>
      <c r="M1373" s="281">
        <f>F1373*H1373</f>
        <v>1.2</v>
      </c>
    </row>
    <row r="1374" spans="1:13" x14ac:dyDescent="0.2">
      <c r="A1374" s="231"/>
      <c r="B1374" s="9"/>
      <c r="C1374" s="7"/>
      <c r="D1374" s="17"/>
      <c r="E1374" s="218"/>
      <c r="F1374" s="218"/>
      <c r="G1374" s="218"/>
      <c r="H1374" s="218"/>
      <c r="I1374" s="218"/>
      <c r="J1374" s="218"/>
      <c r="K1374" s="218"/>
      <c r="L1374" s="218"/>
      <c r="M1374" s="281"/>
    </row>
    <row r="1375" spans="1:13" x14ac:dyDescent="0.2">
      <c r="A1375" s="231"/>
      <c r="B1375" s="9"/>
      <c r="C1375" s="7" t="s">
        <v>151</v>
      </c>
      <c r="D1375" s="17"/>
      <c r="E1375" s="218"/>
      <c r="F1375" s="218"/>
      <c r="G1375" s="218"/>
      <c r="H1375" s="218"/>
      <c r="I1375" s="218"/>
      <c r="J1375" s="218"/>
      <c r="K1375" s="218"/>
      <c r="L1375" s="218"/>
      <c r="M1375" s="277">
        <f>SUM(M1376:M1378)</f>
        <v>2.1890000000000005</v>
      </c>
    </row>
    <row r="1376" spans="1:13" x14ac:dyDescent="0.2">
      <c r="A1376" s="231"/>
      <c r="B1376" s="9"/>
      <c r="C1376" s="7" t="s">
        <v>437</v>
      </c>
      <c r="D1376" s="17"/>
      <c r="E1376" s="218"/>
      <c r="F1376" s="218">
        <v>1.45</v>
      </c>
      <c r="G1376" s="218"/>
      <c r="H1376" s="218">
        <v>0.4</v>
      </c>
      <c r="I1376" s="218"/>
      <c r="J1376" s="218"/>
      <c r="K1376" s="218"/>
      <c r="L1376" s="218"/>
      <c r="M1376" s="281">
        <f>F1376*H1376</f>
        <v>0.57999999999999996</v>
      </c>
    </row>
    <row r="1377" spans="1:13" x14ac:dyDescent="0.2">
      <c r="A1377" s="231"/>
      <c r="B1377" s="9"/>
      <c r="C1377" s="7" t="s">
        <v>165</v>
      </c>
      <c r="D1377" s="17"/>
      <c r="E1377" s="218"/>
      <c r="F1377" s="218">
        <v>2.1800000000000002</v>
      </c>
      <c r="G1377" s="218"/>
      <c r="H1377" s="218">
        <v>0.55000000000000004</v>
      </c>
      <c r="I1377" s="218"/>
      <c r="J1377" s="218"/>
      <c r="K1377" s="218"/>
      <c r="L1377" s="218"/>
      <c r="M1377" s="281">
        <f>F1377*H1377</f>
        <v>1.1990000000000003</v>
      </c>
    </row>
    <row r="1378" spans="1:13" x14ac:dyDescent="0.2">
      <c r="A1378" s="231"/>
      <c r="B1378" s="9"/>
      <c r="C1378" s="7" t="s">
        <v>682</v>
      </c>
      <c r="D1378" s="17"/>
      <c r="E1378" s="218"/>
      <c r="F1378" s="218"/>
      <c r="G1378" s="218"/>
      <c r="H1378" s="218"/>
      <c r="I1378" s="218"/>
      <c r="J1378" s="218">
        <v>0.41</v>
      </c>
      <c r="K1378" s="218"/>
      <c r="L1378" s="218"/>
      <c r="M1378" s="281">
        <f>J1378</f>
        <v>0.41</v>
      </c>
    </row>
    <row r="1379" spans="1:13" x14ac:dyDescent="0.2">
      <c r="A1379" s="231"/>
      <c r="B1379" s="9"/>
      <c r="C1379" s="7"/>
      <c r="D1379" s="17"/>
      <c r="E1379" s="218"/>
      <c r="F1379" s="218"/>
      <c r="G1379" s="218"/>
      <c r="H1379" s="218"/>
      <c r="I1379" s="218"/>
      <c r="J1379" s="218"/>
      <c r="K1379" s="218"/>
      <c r="L1379" s="218"/>
      <c r="M1379" s="277"/>
    </row>
    <row r="1380" spans="1:13" x14ac:dyDescent="0.2">
      <c r="A1380" s="231"/>
      <c r="B1380" s="9"/>
      <c r="C1380" s="7" t="s">
        <v>152</v>
      </c>
      <c r="D1380" s="17"/>
      <c r="E1380" s="218"/>
      <c r="F1380" s="218"/>
      <c r="G1380" s="218"/>
      <c r="H1380" s="218"/>
      <c r="I1380" s="218"/>
      <c r="J1380" s="218"/>
      <c r="K1380" s="218"/>
      <c r="L1380" s="218"/>
      <c r="M1380" s="277">
        <f>SUM(M1381:M1384)</f>
        <v>1.5</v>
      </c>
    </row>
    <row r="1381" spans="1:13" x14ac:dyDescent="0.2">
      <c r="A1381" s="231"/>
      <c r="B1381" s="9"/>
      <c r="C1381" s="7" t="s">
        <v>660</v>
      </c>
      <c r="D1381" s="17"/>
      <c r="E1381" s="218"/>
      <c r="F1381" s="218">
        <v>1</v>
      </c>
      <c r="G1381" s="218"/>
      <c r="H1381" s="218">
        <v>0.4</v>
      </c>
      <c r="I1381" s="218"/>
      <c r="J1381" s="218"/>
      <c r="K1381" s="218"/>
      <c r="L1381" s="218"/>
      <c r="M1381" s="281">
        <f>F1381*H1381</f>
        <v>0.4</v>
      </c>
    </row>
    <row r="1382" spans="1:13" x14ac:dyDescent="0.2">
      <c r="A1382" s="231"/>
      <c r="B1382" s="9"/>
      <c r="C1382" s="7" t="s">
        <v>171</v>
      </c>
      <c r="D1382" s="17"/>
      <c r="E1382" s="218"/>
      <c r="F1382" s="218">
        <v>2</v>
      </c>
      <c r="G1382" s="218"/>
      <c r="H1382" s="218">
        <v>0.55000000000000004</v>
      </c>
      <c r="I1382" s="218"/>
      <c r="J1382" s="218"/>
      <c r="K1382" s="218"/>
      <c r="L1382" s="218"/>
      <c r="M1382" s="281">
        <f>F1382*H1382</f>
        <v>1.1000000000000001</v>
      </c>
    </row>
    <row r="1383" spans="1:13" x14ac:dyDescent="0.2">
      <c r="A1383" s="231"/>
      <c r="B1383" s="9"/>
      <c r="C1383" s="7"/>
      <c r="D1383" s="17"/>
      <c r="E1383" s="218"/>
      <c r="F1383" s="218"/>
      <c r="G1383" s="218"/>
      <c r="H1383" s="218"/>
      <c r="I1383" s="218"/>
      <c r="J1383" s="218"/>
      <c r="K1383" s="218"/>
      <c r="L1383" s="218"/>
      <c r="M1383" s="281"/>
    </row>
    <row r="1384" spans="1:13" x14ac:dyDescent="0.2">
      <c r="A1384" s="231"/>
      <c r="B1384" s="9"/>
      <c r="C1384" s="7"/>
      <c r="D1384" s="17"/>
      <c r="E1384" s="218"/>
      <c r="F1384" s="218"/>
      <c r="G1384" s="218"/>
      <c r="H1384" s="218"/>
      <c r="I1384" s="218"/>
      <c r="J1384" s="218"/>
      <c r="K1384" s="218"/>
      <c r="L1384" s="218"/>
      <c r="M1384" s="277"/>
    </row>
    <row r="1385" spans="1:13" ht="36" x14ac:dyDescent="0.2">
      <c r="A1385" s="231" t="s">
        <v>683</v>
      </c>
      <c r="B1385" s="9" t="s">
        <v>1025</v>
      </c>
      <c r="C1385" s="7" t="s">
        <v>684</v>
      </c>
      <c r="D1385" s="17" t="s">
        <v>45</v>
      </c>
      <c r="E1385" s="218"/>
      <c r="F1385" s="218"/>
      <c r="G1385" s="218"/>
      <c r="H1385" s="218"/>
      <c r="I1385" s="218"/>
      <c r="J1385" s="218"/>
      <c r="K1385" s="218"/>
      <c r="L1385" s="218"/>
      <c r="M1385" s="272">
        <f>SUM(M1386,M1389,M1394)</f>
        <v>15.35</v>
      </c>
    </row>
    <row r="1386" spans="1:13" x14ac:dyDescent="0.2">
      <c r="A1386" s="231"/>
      <c r="B1386" s="9"/>
      <c r="C1386" s="7" t="s">
        <v>150</v>
      </c>
      <c r="D1386" s="17"/>
      <c r="E1386" s="218"/>
      <c r="F1386" s="218"/>
      <c r="G1386" s="218"/>
      <c r="H1386" s="218"/>
      <c r="I1386" s="218"/>
      <c r="J1386" s="218"/>
      <c r="K1386" s="218"/>
      <c r="L1386" s="218"/>
      <c r="M1386" s="277">
        <f>SUM(M1387)</f>
        <v>2</v>
      </c>
    </row>
    <row r="1387" spans="1:13" x14ac:dyDescent="0.2">
      <c r="A1387" s="231"/>
      <c r="B1387" s="9"/>
      <c r="C1387" s="7" t="s">
        <v>658</v>
      </c>
      <c r="D1387" s="17"/>
      <c r="E1387" s="218"/>
      <c r="F1387" s="218"/>
      <c r="G1387" s="218">
        <v>2</v>
      </c>
      <c r="H1387" s="218"/>
      <c r="I1387" s="218"/>
      <c r="J1387" s="218"/>
      <c r="K1387" s="218"/>
      <c r="L1387" s="218"/>
      <c r="M1387" s="281">
        <f>G1387</f>
        <v>2</v>
      </c>
    </row>
    <row r="1388" spans="1:13" x14ac:dyDescent="0.2">
      <c r="A1388" s="231"/>
      <c r="B1388" s="9"/>
      <c r="C1388" s="7"/>
      <c r="D1388" s="17"/>
      <c r="E1388" s="218"/>
      <c r="F1388" s="218"/>
      <c r="G1388" s="218"/>
      <c r="H1388" s="218"/>
      <c r="I1388" s="218"/>
      <c r="J1388" s="218"/>
      <c r="K1388" s="218"/>
      <c r="L1388" s="218"/>
      <c r="M1388" s="281"/>
    </row>
    <row r="1389" spans="1:13" x14ac:dyDescent="0.2">
      <c r="A1389" s="231"/>
      <c r="B1389" s="9"/>
      <c r="C1389" s="7" t="s">
        <v>151</v>
      </c>
      <c r="D1389" s="17"/>
      <c r="E1389" s="218"/>
      <c r="F1389" s="218"/>
      <c r="G1389" s="218"/>
      <c r="H1389" s="218"/>
      <c r="I1389" s="218"/>
      <c r="J1389" s="218"/>
      <c r="K1389" s="218"/>
      <c r="L1389" s="218"/>
      <c r="M1389" s="277">
        <f>SUM(M1390:M1392)</f>
        <v>6.4</v>
      </c>
    </row>
    <row r="1390" spans="1:13" x14ac:dyDescent="0.2">
      <c r="A1390" s="231"/>
      <c r="B1390" s="9"/>
      <c r="C1390" s="7" t="s">
        <v>437</v>
      </c>
      <c r="D1390" s="17"/>
      <c r="E1390" s="218"/>
      <c r="F1390" s="218"/>
      <c r="G1390" s="218">
        <v>1.75</v>
      </c>
      <c r="H1390" s="218"/>
      <c r="I1390" s="218"/>
      <c r="J1390" s="218"/>
      <c r="K1390" s="218"/>
      <c r="L1390" s="218"/>
      <c r="M1390" s="281">
        <f>G1390</f>
        <v>1.75</v>
      </c>
    </row>
    <row r="1391" spans="1:13" x14ac:dyDescent="0.2">
      <c r="A1391" s="231"/>
      <c r="B1391" s="9"/>
      <c r="C1391" s="7" t="s">
        <v>165</v>
      </c>
      <c r="D1391" s="17"/>
      <c r="E1391" s="218"/>
      <c r="F1391" s="218"/>
      <c r="G1391" s="218">
        <v>2.75</v>
      </c>
      <c r="H1391" s="218"/>
      <c r="I1391" s="218"/>
      <c r="J1391" s="218"/>
      <c r="K1391" s="218"/>
      <c r="L1391" s="218"/>
      <c r="M1391" s="281">
        <f>G1391</f>
        <v>2.75</v>
      </c>
    </row>
    <row r="1392" spans="1:13" x14ac:dyDescent="0.2">
      <c r="A1392" s="231"/>
      <c r="B1392" s="9"/>
      <c r="C1392" s="7" t="s">
        <v>659</v>
      </c>
      <c r="D1392" s="17"/>
      <c r="E1392" s="218"/>
      <c r="F1392" s="218"/>
      <c r="G1392" s="218">
        <v>1.9</v>
      </c>
      <c r="H1392" s="218"/>
      <c r="I1392" s="218"/>
      <c r="J1392" s="218"/>
      <c r="K1392" s="218"/>
      <c r="L1392" s="218"/>
      <c r="M1392" s="281">
        <f>G1392</f>
        <v>1.9</v>
      </c>
    </row>
    <row r="1393" spans="1:13" x14ac:dyDescent="0.2">
      <c r="A1393" s="231"/>
      <c r="B1393" s="9"/>
      <c r="C1393" s="7"/>
      <c r="D1393" s="17"/>
      <c r="E1393" s="218"/>
      <c r="F1393" s="218"/>
      <c r="G1393" s="218"/>
      <c r="H1393" s="218"/>
      <c r="I1393" s="218"/>
      <c r="J1393" s="218"/>
      <c r="K1393" s="218"/>
      <c r="L1393" s="218"/>
      <c r="M1393" s="277"/>
    </row>
    <row r="1394" spans="1:13" x14ac:dyDescent="0.2">
      <c r="A1394" s="231"/>
      <c r="B1394" s="9"/>
      <c r="C1394" s="7" t="s">
        <v>152</v>
      </c>
      <c r="D1394" s="17"/>
      <c r="E1394" s="218"/>
      <c r="F1394" s="218"/>
      <c r="G1394" s="218"/>
      <c r="H1394" s="218"/>
      <c r="I1394" s="218"/>
      <c r="J1394" s="218"/>
      <c r="K1394" s="218"/>
      <c r="L1394" s="218"/>
      <c r="M1394" s="277">
        <f>SUM(M1395:M1398)</f>
        <v>6.9499999999999993</v>
      </c>
    </row>
    <row r="1395" spans="1:13" x14ac:dyDescent="0.2">
      <c r="A1395" s="231"/>
      <c r="B1395" s="9"/>
      <c r="C1395" s="7" t="s">
        <v>660</v>
      </c>
      <c r="D1395" s="17"/>
      <c r="E1395" s="218"/>
      <c r="F1395" s="218"/>
      <c r="G1395" s="218">
        <v>1.4</v>
      </c>
      <c r="H1395" s="218"/>
      <c r="I1395" s="218"/>
      <c r="J1395" s="218"/>
      <c r="K1395" s="218"/>
      <c r="L1395" s="218"/>
      <c r="M1395" s="281">
        <f>G1395</f>
        <v>1.4</v>
      </c>
    </row>
    <row r="1396" spans="1:13" x14ac:dyDescent="0.2">
      <c r="A1396" s="231"/>
      <c r="B1396" s="9"/>
      <c r="C1396" s="7" t="s">
        <v>171</v>
      </c>
      <c r="D1396" s="17"/>
      <c r="E1396" s="218"/>
      <c r="F1396" s="218"/>
      <c r="G1396" s="218">
        <v>2.5499999999999998</v>
      </c>
      <c r="H1396" s="218"/>
      <c r="I1396" s="218"/>
      <c r="J1396" s="218"/>
      <c r="K1396" s="218"/>
      <c r="L1396" s="218"/>
      <c r="M1396" s="281">
        <f>G1396</f>
        <v>2.5499999999999998</v>
      </c>
    </row>
    <row r="1397" spans="1:13" x14ac:dyDescent="0.2">
      <c r="A1397" s="231"/>
      <c r="B1397" s="9"/>
      <c r="C1397" s="7" t="s">
        <v>441</v>
      </c>
      <c r="D1397" s="17"/>
      <c r="E1397" s="218">
        <v>2</v>
      </c>
      <c r="F1397" s="218"/>
      <c r="G1397" s="218">
        <v>1.5</v>
      </c>
      <c r="H1397" s="218"/>
      <c r="I1397" s="218"/>
      <c r="J1397" s="218"/>
      <c r="K1397" s="218"/>
      <c r="L1397" s="218"/>
      <c r="M1397" s="281">
        <f>E1397*G1397</f>
        <v>3</v>
      </c>
    </row>
    <row r="1398" spans="1:13" x14ac:dyDescent="0.2">
      <c r="A1398" s="231"/>
      <c r="B1398" s="9"/>
      <c r="C1398" s="7"/>
      <c r="D1398" s="17"/>
      <c r="E1398" s="218"/>
      <c r="F1398" s="218"/>
      <c r="G1398" s="218"/>
      <c r="H1398" s="218"/>
      <c r="I1398" s="218"/>
      <c r="J1398" s="218"/>
      <c r="K1398" s="218"/>
      <c r="L1398" s="218"/>
      <c r="M1398" s="277"/>
    </row>
    <row r="1399" spans="1:13" x14ac:dyDescent="0.2">
      <c r="A1399" s="236"/>
      <c r="B1399" s="327"/>
      <c r="C1399" s="328"/>
      <c r="D1399" s="329"/>
      <c r="E1399" s="354"/>
      <c r="F1399" s="354"/>
      <c r="G1399" s="354"/>
      <c r="H1399" s="354"/>
      <c r="I1399" s="354"/>
      <c r="J1399" s="354"/>
      <c r="K1399" s="354"/>
      <c r="L1399" s="354"/>
      <c r="M1399" s="360"/>
    </row>
    <row r="1400" spans="1:13" ht="36" x14ac:dyDescent="0.2">
      <c r="A1400" s="231" t="s">
        <v>685</v>
      </c>
      <c r="B1400" s="9" t="s">
        <v>381</v>
      </c>
      <c r="C1400" s="7" t="s">
        <v>686</v>
      </c>
      <c r="D1400" s="17" t="s">
        <v>45</v>
      </c>
      <c r="E1400" s="218"/>
      <c r="F1400" s="218"/>
      <c r="G1400" s="218"/>
      <c r="H1400" s="218"/>
      <c r="I1400" s="218"/>
      <c r="J1400" s="218"/>
      <c r="K1400" s="218"/>
      <c r="L1400" s="218"/>
      <c r="M1400" s="272">
        <f>SUM(M1401,M1406)</f>
        <v>7.0500000000000007</v>
      </c>
    </row>
    <row r="1401" spans="1:13" x14ac:dyDescent="0.2">
      <c r="A1401" s="231"/>
      <c r="B1401" s="9"/>
      <c r="C1401" s="7" t="s">
        <v>151</v>
      </c>
      <c r="D1401" s="17"/>
      <c r="E1401" s="218"/>
      <c r="F1401" s="218"/>
      <c r="G1401" s="218"/>
      <c r="H1401" s="218"/>
      <c r="I1401" s="218"/>
      <c r="J1401" s="218"/>
      <c r="K1401" s="218"/>
      <c r="L1401" s="218"/>
      <c r="M1401" s="277">
        <f>SUM(M1402:M1404)</f>
        <v>3.45</v>
      </c>
    </row>
    <row r="1402" spans="1:13" x14ac:dyDescent="0.2">
      <c r="A1402" s="231"/>
      <c r="B1402" s="9"/>
      <c r="C1402" s="7" t="s">
        <v>437</v>
      </c>
      <c r="D1402" s="17"/>
      <c r="E1402" s="218">
        <v>2</v>
      </c>
      <c r="F1402" s="218">
        <v>0.35</v>
      </c>
      <c r="G1402" s="218"/>
      <c r="H1402" s="218"/>
      <c r="I1402" s="218"/>
      <c r="J1402" s="218"/>
      <c r="K1402" s="218"/>
      <c r="L1402" s="218"/>
      <c r="M1402" s="281">
        <f>E1402*F1402</f>
        <v>0.7</v>
      </c>
    </row>
    <row r="1403" spans="1:13" x14ac:dyDescent="0.2">
      <c r="A1403" s="231"/>
      <c r="B1403" s="9"/>
      <c r="C1403" s="7" t="s">
        <v>165</v>
      </c>
      <c r="D1403" s="17"/>
      <c r="E1403" s="218">
        <v>1</v>
      </c>
      <c r="F1403" s="218">
        <v>2</v>
      </c>
      <c r="G1403" s="218"/>
      <c r="H1403" s="218"/>
      <c r="I1403" s="218"/>
      <c r="J1403" s="218"/>
      <c r="K1403" s="218"/>
      <c r="L1403" s="218"/>
      <c r="M1403" s="281">
        <f t="shared" ref="M1403:M1409" si="6">E1403*F1403</f>
        <v>2</v>
      </c>
    </row>
    <row r="1404" spans="1:13" x14ac:dyDescent="0.2">
      <c r="A1404" s="231"/>
      <c r="B1404" s="9"/>
      <c r="C1404" s="7"/>
      <c r="D1404" s="17"/>
      <c r="E1404" s="218">
        <v>1</v>
      </c>
      <c r="F1404" s="218">
        <v>0.75</v>
      </c>
      <c r="G1404" s="218"/>
      <c r="H1404" s="218"/>
      <c r="I1404" s="218"/>
      <c r="J1404" s="218"/>
      <c r="K1404" s="218"/>
      <c r="L1404" s="218"/>
      <c r="M1404" s="281">
        <f t="shared" si="6"/>
        <v>0.75</v>
      </c>
    </row>
    <row r="1405" spans="1:13" x14ac:dyDescent="0.2">
      <c r="A1405" s="231"/>
      <c r="B1405" s="9"/>
      <c r="C1405" s="7"/>
      <c r="D1405" s="17"/>
      <c r="E1405" s="218"/>
      <c r="F1405" s="218"/>
      <c r="G1405" s="218"/>
      <c r="H1405" s="218"/>
      <c r="I1405" s="218"/>
      <c r="J1405" s="218"/>
      <c r="K1405" s="218"/>
      <c r="L1405" s="218"/>
      <c r="M1405" s="281"/>
    </row>
    <row r="1406" spans="1:13" x14ac:dyDescent="0.2">
      <c r="A1406" s="231"/>
      <c r="B1406" s="9"/>
      <c r="C1406" s="7" t="s">
        <v>152</v>
      </c>
      <c r="D1406" s="17"/>
      <c r="E1406" s="218"/>
      <c r="F1406" s="218"/>
      <c r="G1406" s="218"/>
      <c r="H1406" s="218"/>
      <c r="I1406" s="218"/>
      <c r="J1406" s="218"/>
      <c r="K1406" s="218"/>
      <c r="L1406" s="218"/>
      <c r="M1406" s="277">
        <f>SUM(M1407:M1409)</f>
        <v>3.6</v>
      </c>
    </row>
    <row r="1407" spans="1:13" x14ac:dyDescent="0.2">
      <c r="A1407" s="231"/>
      <c r="B1407" s="9"/>
      <c r="C1407" s="7" t="s">
        <v>660</v>
      </c>
      <c r="D1407" s="17"/>
      <c r="E1407" s="218">
        <v>1</v>
      </c>
      <c r="F1407" s="218">
        <v>1</v>
      </c>
      <c r="G1407" s="218"/>
      <c r="H1407" s="218"/>
      <c r="I1407" s="218"/>
      <c r="J1407" s="218"/>
      <c r="K1407" s="218"/>
      <c r="L1407" s="218"/>
      <c r="M1407" s="281">
        <f t="shared" si="6"/>
        <v>1</v>
      </c>
    </row>
    <row r="1408" spans="1:13" x14ac:dyDescent="0.2">
      <c r="A1408" s="231"/>
      <c r="B1408" s="9"/>
      <c r="C1408" s="7" t="s">
        <v>171</v>
      </c>
      <c r="D1408" s="17"/>
      <c r="E1408" s="218">
        <v>1</v>
      </c>
      <c r="F1408" s="218">
        <v>1.85</v>
      </c>
      <c r="G1408" s="218"/>
      <c r="H1408" s="218"/>
      <c r="I1408" s="218"/>
      <c r="J1408" s="218"/>
      <c r="K1408" s="218"/>
      <c r="L1408" s="218"/>
      <c r="M1408" s="281">
        <f t="shared" si="6"/>
        <v>1.85</v>
      </c>
    </row>
    <row r="1409" spans="1:13" x14ac:dyDescent="0.2">
      <c r="A1409" s="231"/>
      <c r="B1409" s="9"/>
      <c r="C1409" s="7"/>
      <c r="D1409" s="17"/>
      <c r="E1409" s="218">
        <v>1</v>
      </c>
      <c r="F1409" s="218">
        <v>0.75</v>
      </c>
      <c r="G1409" s="218"/>
      <c r="H1409" s="218"/>
      <c r="I1409" s="218"/>
      <c r="J1409" s="218"/>
      <c r="K1409" s="218"/>
      <c r="L1409" s="218"/>
      <c r="M1409" s="281">
        <f t="shared" si="6"/>
        <v>0.75</v>
      </c>
    </row>
    <row r="1410" spans="1:13" x14ac:dyDescent="0.2">
      <c r="A1410" s="231"/>
      <c r="B1410" s="9"/>
      <c r="C1410" s="7"/>
      <c r="D1410" s="17"/>
      <c r="E1410" s="218"/>
      <c r="F1410" s="218"/>
      <c r="G1410" s="218"/>
      <c r="H1410" s="218"/>
      <c r="I1410" s="218"/>
      <c r="J1410" s="218"/>
      <c r="K1410" s="218"/>
      <c r="L1410" s="218"/>
      <c r="M1410" s="277"/>
    </row>
    <row r="1411" spans="1:13" x14ac:dyDescent="0.2">
      <c r="A1411" s="231"/>
      <c r="B1411" s="9"/>
      <c r="C1411" s="7"/>
      <c r="D1411" s="17"/>
      <c r="E1411" s="218"/>
      <c r="F1411" s="218"/>
      <c r="G1411" s="218"/>
      <c r="H1411" s="218"/>
      <c r="I1411" s="218"/>
      <c r="J1411" s="218"/>
      <c r="K1411" s="218"/>
      <c r="L1411" s="218"/>
      <c r="M1411" s="277"/>
    </row>
    <row r="1412" spans="1:13" ht="72" x14ac:dyDescent="0.2">
      <c r="A1412" s="231" t="s">
        <v>687</v>
      </c>
      <c r="B1412" s="9" t="s">
        <v>1026</v>
      </c>
      <c r="C1412" s="7" t="s">
        <v>688</v>
      </c>
      <c r="D1412" s="17" t="s">
        <v>16</v>
      </c>
      <c r="E1412" s="218"/>
      <c r="F1412" s="218"/>
      <c r="G1412" s="218"/>
      <c r="H1412" s="218"/>
      <c r="I1412" s="218"/>
      <c r="J1412" s="218"/>
      <c r="K1412" s="218"/>
      <c r="L1412" s="218"/>
      <c r="M1412" s="272">
        <f>SUM(M1417,M1413)</f>
        <v>7</v>
      </c>
    </row>
    <row r="1413" spans="1:13" x14ac:dyDescent="0.2">
      <c r="A1413" s="231"/>
      <c r="B1413" s="9"/>
      <c r="C1413" s="7" t="s">
        <v>151</v>
      </c>
      <c r="D1413" s="17"/>
      <c r="E1413" s="218"/>
      <c r="F1413" s="218"/>
      <c r="G1413" s="218"/>
      <c r="H1413" s="218"/>
      <c r="I1413" s="218"/>
      <c r="J1413" s="218"/>
      <c r="K1413" s="218"/>
      <c r="L1413" s="218"/>
      <c r="M1413" s="277">
        <f>SUM(M1414:M1415)</f>
        <v>2</v>
      </c>
    </row>
    <row r="1414" spans="1:13" x14ac:dyDescent="0.2">
      <c r="A1414" s="231"/>
      <c r="B1414" s="9"/>
      <c r="C1414" s="7" t="s">
        <v>437</v>
      </c>
      <c r="D1414" s="17"/>
      <c r="E1414" s="218">
        <v>1</v>
      </c>
      <c r="F1414" s="218"/>
      <c r="G1414" s="218"/>
      <c r="H1414" s="218"/>
      <c r="I1414" s="218"/>
      <c r="J1414" s="218"/>
      <c r="K1414" s="218"/>
      <c r="L1414" s="218"/>
      <c r="M1414" s="281">
        <f>E1414</f>
        <v>1</v>
      </c>
    </row>
    <row r="1415" spans="1:13" x14ac:dyDescent="0.2">
      <c r="A1415" s="231"/>
      <c r="B1415" s="9"/>
      <c r="C1415" s="7" t="s">
        <v>659</v>
      </c>
      <c r="D1415" s="17"/>
      <c r="E1415" s="218">
        <v>1</v>
      </c>
      <c r="F1415" s="218"/>
      <c r="G1415" s="218"/>
      <c r="H1415" s="218"/>
      <c r="I1415" s="218"/>
      <c r="J1415" s="218"/>
      <c r="K1415" s="218"/>
      <c r="L1415" s="218"/>
      <c r="M1415" s="281">
        <f>E1415</f>
        <v>1</v>
      </c>
    </row>
    <row r="1416" spans="1:13" x14ac:dyDescent="0.2">
      <c r="A1416" s="231"/>
      <c r="B1416" s="9"/>
      <c r="C1416" s="7"/>
      <c r="D1416" s="17"/>
      <c r="E1416" s="218"/>
      <c r="F1416" s="218"/>
      <c r="G1416" s="218"/>
      <c r="H1416" s="218"/>
      <c r="I1416" s="218"/>
      <c r="J1416" s="218"/>
      <c r="K1416" s="218"/>
      <c r="L1416" s="218"/>
      <c r="M1416" s="281"/>
    </row>
    <row r="1417" spans="1:13" x14ac:dyDescent="0.2">
      <c r="A1417" s="231"/>
      <c r="B1417" s="9"/>
      <c r="C1417" s="7" t="s">
        <v>152</v>
      </c>
      <c r="D1417" s="17"/>
      <c r="E1417" s="218"/>
      <c r="F1417" s="218"/>
      <c r="G1417" s="218"/>
      <c r="H1417" s="218"/>
      <c r="I1417" s="218"/>
      <c r="J1417" s="218"/>
      <c r="K1417" s="218"/>
      <c r="L1417" s="218"/>
      <c r="M1417" s="277">
        <f>SUM(M1418:M1419)</f>
        <v>5</v>
      </c>
    </row>
    <row r="1418" spans="1:13" x14ac:dyDescent="0.2">
      <c r="A1418" s="231"/>
      <c r="B1418" s="9"/>
      <c r="C1418" s="7" t="s">
        <v>660</v>
      </c>
      <c r="D1418" s="17"/>
      <c r="E1418" s="218">
        <v>1</v>
      </c>
      <c r="F1418" s="218"/>
      <c r="G1418" s="218"/>
      <c r="H1418" s="218"/>
      <c r="I1418" s="218"/>
      <c r="J1418" s="218"/>
      <c r="K1418" s="218"/>
      <c r="L1418" s="218"/>
      <c r="M1418" s="281">
        <f>E1418</f>
        <v>1</v>
      </c>
    </row>
    <row r="1419" spans="1:13" x14ac:dyDescent="0.2">
      <c r="A1419" s="231"/>
      <c r="B1419" s="9"/>
      <c r="C1419" s="7" t="s">
        <v>441</v>
      </c>
      <c r="D1419" s="17"/>
      <c r="E1419" s="218">
        <v>4</v>
      </c>
      <c r="F1419" s="218"/>
      <c r="G1419" s="218"/>
      <c r="H1419" s="218"/>
      <c r="I1419" s="218"/>
      <c r="J1419" s="218"/>
      <c r="K1419" s="218"/>
      <c r="L1419" s="218"/>
      <c r="M1419" s="281">
        <f>E1419</f>
        <v>4</v>
      </c>
    </row>
    <row r="1420" spans="1:13" x14ac:dyDescent="0.2">
      <c r="A1420" s="231"/>
      <c r="B1420" s="9"/>
      <c r="C1420" s="7"/>
      <c r="D1420" s="17"/>
      <c r="E1420" s="218"/>
      <c r="F1420" s="218"/>
      <c r="G1420" s="218"/>
      <c r="H1420" s="218"/>
      <c r="I1420" s="218"/>
      <c r="J1420" s="218"/>
      <c r="K1420" s="218"/>
      <c r="L1420" s="218"/>
      <c r="M1420" s="281"/>
    </row>
    <row r="1421" spans="1:13" x14ac:dyDescent="0.2">
      <c r="A1421" s="231"/>
      <c r="B1421" s="9"/>
      <c r="C1421" s="7"/>
      <c r="D1421" s="17"/>
      <c r="E1421" s="218"/>
      <c r="F1421" s="218"/>
      <c r="G1421" s="218"/>
      <c r="H1421" s="218"/>
      <c r="I1421" s="218"/>
      <c r="J1421" s="218"/>
      <c r="K1421" s="218"/>
      <c r="L1421" s="218"/>
      <c r="M1421" s="281"/>
    </row>
    <row r="1422" spans="1:13" ht="96" x14ac:dyDescent="0.2">
      <c r="A1422" s="231" t="s">
        <v>140</v>
      </c>
      <c r="B1422" s="9" t="s">
        <v>1027</v>
      </c>
      <c r="C1422" s="7" t="s">
        <v>296</v>
      </c>
      <c r="D1422" s="17" t="s">
        <v>16</v>
      </c>
      <c r="E1422" s="218"/>
      <c r="F1422" s="218"/>
      <c r="G1422" s="218"/>
      <c r="H1422" s="218"/>
      <c r="I1422" s="218"/>
      <c r="J1422" s="218"/>
      <c r="K1422" s="218"/>
      <c r="L1422" s="218"/>
      <c r="M1422" s="272">
        <f>SUM(M1423,M1428)</f>
        <v>8</v>
      </c>
    </row>
    <row r="1423" spans="1:13" x14ac:dyDescent="0.2">
      <c r="A1423" s="231"/>
      <c r="B1423" s="9"/>
      <c r="C1423" s="7" t="s">
        <v>151</v>
      </c>
      <c r="D1423" s="17"/>
      <c r="E1423" s="218"/>
      <c r="F1423" s="218"/>
      <c r="G1423" s="218"/>
      <c r="H1423" s="218"/>
      <c r="I1423" s="218"/>
      <c r="J1423" s="218"/>
      <c r="K1423" s="218"/>
      <c r="L1423" s="218"/>
      <c r="M1423" s="281">
        <f>SUM(M1424:M1426)</f>
        <v>3</v>
      </c>
    </row>
    <row r="1424" spans="1:13" x14ac:dyDescent="0.2">
      <c r="A1424" s="231"/>
      <c r="B1424" s="9"/>
      <c r="C1424" s="7" t="s">
        <v>437</v>
      </c>
      <c r="D1424" s="17"/>
      <c r="E1424" s="218">
        <v>1</v>
      </c>
      <c r="F1424" s="218"/>
      <c r="G1424" s="218"/>
      <c r="H1424" s="218"/>
      <c r="I1424" s="218"/>
      <c r="J1424" s="218"/>
      <c r="K1424" s="218"/>
      <c r="L1424" s="218"/>
      <c r="M1424" s="281">
        <f>E1424</f>
        <v>1</v>
      </c>
    </row>
    <row r="1425" spans="1:13" x14ac:dyDescent="0.2">
      <c r="A1425" s="231"/>
      <c r="B1425" s="9"/>
      <c r="C1425" s="7" t="s">
        <v>438</v>
      </c>
      <c r="D1425" s="17"/>
      <c r="E1425" s="218">
        <v>1</v>
      </c>
      <c r="F1425" s="218"/>
      <c r="G1425" s="218"/>
      <c r="H1425" s="218"/>
      <c r="I1425" s="218"/>
      <c r="J1425" s="218"/>
      <c r="K1425" s="218"/>
      <c r="L1425" s="218"/>
      <c r="M1425" s="281">
        <f>E1425</f>
        <v>1</v>
      </c>
    </row>
    <row r="1426" spans="1:13" x14ac:dyDescent="0.2">
      <c r="A1426" s="231"/>
      <c r="B1426" s="9"/>
      <c r="C1426" s="7" t="s">
        <v>659</v>
      </c>
      <c r="D1426" s="17"/>
      <c r="E1426" s="218">
        <v>1</v>
      </c>
      <c r="F1426" s="218"/>
      <c r="G1426" s="218"/>
      <c r="H1426" s="218"/>
      <c r="I1426" s="218"/>
      <c r="J1426" s="218"/>
      <c r="K1426" s="218"/>
      <c r="L1426" s="218"/>
      <c r="M1426" s="281">
        <f>E1426</f>
        <v>1</v>
      </c>
    </row>
    <row r="1427" spans="1:13" x14ac:dyDescent="0.2">
      <c r="A1427" s="231"/>
      <c r="B1427" s="9"/>
      <c r="C1427" s="7"/>
      <c r="D1427" s="17"/>
      <c r="E1427" s="218"/>
      <c r="F1427" s="218"/>
      <c r="G1427" s="218"/>
      <c r="H1427" s="218"/>
      <c r="I1427" s="218"/>
      <c r="J1427" s="218"/>
      <c r="K1427" s="218"/>
      <c r="L1427" s="218"/>
      <c r="M1427" s="277"/>
    </row>
    <row r="1428" spans="1:13" x14ac:dyDescent="0.2">
      <c r="A1428" s="231"/>
      <c r="B1428" s="9"/>
      <c r="C1428" s="7" t="s">
        <v>152</v>
      </c>
      <c r="D1428" s="17"/>
      <c r="E1428" s="218"/>
      <c r="F1428" s="218"/>
      <c r="G1428" s="218"/>
      <c r="H1428" s="218"/>
      <c r="I1428" s="218"/>
      <c r="J1428" s="218"/>
      <c r="K1428" s="218"/>
      <c r="L1428" s="218"/>
      <c r="M1428" s="277">
        <f>SUM(M1429:M1430)</f>
        <v>5</v>
      </c>
    </row>
    <row r="1429" spans="1:13" x14ac:dyDescent="0.2">
      <c r="A1429" s="231"/>
      <c r="B1429" s="9"/>
      <c r="C1429" s="7" t="s">
        <v>660</v>
      </c>
      <c r="D1429" s="17"/>
      <c r="E1429" s="218">
        <v>1</v>
      </c>
      <c r="F1429" s="218"/>
      <c r="G1429" s="218"/>
      <c r="H1429" s="218"/>
      <c r="I1429" s="218"/>
      <c r="J1429" s="218"/>
      <c r="K1429" s="218"/>
      <c r="L1429" s="218"/>
      <c r="M1429" s="281">
        <f>E1429</f>
        <v>1</v>
      </c>
    </row>
    <row r="1430" spans="1:13" x14ac:dyDescent="0.2">
      <c r="A1430" s="231"/>
      <c r="B1430" s="9"/>
      <c r="C1430" s="7" t="s">
        <v>441</v>
      </c>
      <c r="D1430" s="17"/>
      <c r="E1430" s="218">
        <v>4</v>
      </c>
      <c r="F1430" s="218"/>
      <c r="G1430" s="218"/>
      <c r="H1430" s="218"/>
      <c r="I1430" s="218"/>
      <c r="J1430" s="218"/>
      <c r="K1430" s="218"/>
      <c r="L1430" s="218"/>
      <c r="M1430" s="281">
        <f>E1430</f>
        <v>4</v>
      </c>
    </row>
    <row r="1431" spans="1:13" x14ac:dyDescent="0.2">
      <c r="A1431" s="231"/>
      <c r="B1431" s="9"/>
      <c r="C1431" s="7"/>
      <c r="D1431" s="17"/>
      <c r="E1431" s="218"/>
      <c r="F1431" s="218"/>
      <c r="G1431" s="218"/>
      <c r="H1431" s="218"/>
      <c r="I1431" s="218"/>
      <c r="J1431" s="218"/>
      <c r="K1431" s="218"/>
      <c r="L1431" s="218"/>
      <c r="M1431" s="277"/>
    </row>
    <row r="1432" spans="1:13" x14ac:dyDescent="0.2">
      <c r="A1432" s="231"/>
      <c r="B1432" s="9"/>
      <c r="C1432" s="7"/>
      <c r="D1432" s="17"/>
      <c r="E1432" s="218"/>
      <c r="F1432" s="218"/>
      <c r="G1432" s="218"/>
      <c r="H1432" s="218"/>
      <c r="I1432" s="218"/>
      <c r="J1432" s="218"/>
      <c r="K1432" s="218"/>
      <c r="L1432" s="218"/>
      <c r="M1432" s="277"/>
    </row>
    <row r="1433" spans="1:13" ht="48" x14ac:dyDescent="0.2">
      <c r="A1433" s="231" t="s">
        <v>689</v>
      </c>
      <c r="B1433" s="9" t="s">
        <v>1028</v>
      </c>
      <c r="C1433" s="7" t="s">
        <v>690</v>
      </c>
      <c r="D1433" s="17" t="s">
        <v>16</v>
      </c>
      <c r="E1433" s="218"/>
      <c r="F1433" s="218"/>
      <c r="G1433" s="218"/>
      <c r="H1433" s="218"/>
      <c r="I1433" s="218"/>
      <c r="J1433" s="218"/>
      <c r="K1433" s="218"/>
      <c r="L1433" s="218"/>
      <c r="M1433" s="272">
        <f>SUM(M1434,M1437)</f>
        <v>2</v>
      </c>
    </row>
    <row r="1434" spans="1:13" x14ac:dyDescent="0.2">
      <c r="A1434" s="231"/>
      <c r="B1434" s="9"/>
      <c r="C1434" s="7" t="s">
        <v>151</v>
      </c>
      <c r="D1434" s="17"/>
      <c r="E1434" s="218"/>
      <c r="F1434" s="218"/>
      <c r="G1434" s="218"/>
      <c r="H1434" s="218"/>
      <c r="I1434" s="218"/>
      <c r="J1434" s="218"/>
      <c r="K1434" s="218"/>
      <c r="L1434" s="218"/>
      <c r="M1434" s="277">
        <f>SUM(M1435)</f>
        <v>1</v>
      </c>
    </row>
    <row r="1435" spans="1:13" x14ac:dyDescent="0.2">
      <c r="A1435" s="231"/>
      <c r="B1435" s="9"/>
      <c r="C1435" s="7" t="s">
        <v>165</v>
      </c>
      <c r="D1435" s="17"/>
      <c r="E1435" s="218">
        <v>1</v>
      </c>
      <c r="F1435" s="218"/>
      <c r="G1435" s="218"/>
      <c r="H1435" s="218"/>
      <c r="I1435" s="218"/>
      <c r="J1435" s="218"/>
      <c r="K1435" s="218"/>
      <c r="L1435" s="218"/>
      <c r="M1435" s="281">
        <f>E1435</f>
        <v>1</v>
      </c>
    </row>
    <row r="1436" spans="1:13" x14ac:dyDescent="0.2">
      <c r="A1436" s="231"/>
      <c r="B1436" s="9"/>
      <c r="C1436" s="7"/>
      <c r="D1436" s="17"/>
      <c r="E1436" s="218"/>
      <c r="F1436" s="218"/>
      <c r="G1436" s="218"/>
      <c r="H1436" s="218"/>
      <c r="I1436" s="218"/>
      <c r="J1436" s="218"/>
      <c r="K1436" s="218"/>
      <c r="L1436" s="218"/>
      <c r="M1436" s="277"/>
    </row>
    <row r="1437" spans="1:13" x14ac:dyDescent="0.2">
      <c r="A1437" s="231"/>
      <c r="B1437" s="9"/>
      <c r="C1437" s="7" t="s">
        <v>152</v>
      </c>
      <c r="D1437" s="17"/>
      <c r="E1437" s="218"/>
      <c r="F1437" s="218"/>
      <c r="G1437" s="218"/>
      <c r="H1437" s="218"/>
      <c r="I1437" s="218"/>
      <c r="J1437" s="218"/>
      <c r="K1437" s="218"/>
      <c r="L1437" s="218"/>
      <c r="M1437" s="277">
        <f>SUM(M1438:M1440)</f>
        <v>1</v>
      </c>
    </row>
    <row r="1438" spans="1:13" x14ac:dyDescent="0.2">
      <c r="A1438" s="231"/>
      <c r="B1438" s="9"/>
      <c r="C1438" s="7" t="s">
        <v>171</v>
      </c>
      <c r="D1438" s="17"/>
      <c r="E1438" s="218">
        <v>1</v>
      </c>
      <c r="F1438" s="218"/>
      <c r="G1438" s="218"/>
      <c r="H1438" s="218"/>
      <c r="I1438" s="218"/>
      <c r="J1438" s="218"/>
      <c r="K1438" s="218"/>
      <c r="L1438" s="218"/>
      <c r="M1438" s="281">
        <f>E1438</f>
        <v>1</v>
      </c>
    </row>
    <row r="1439" spans="1:13" x14ac:dyDescent="0.2">
      <c r="A1439" s="231"/>
      <c r="B1439" s="9"/>
      <c r="C1439" s="7"/>
      <c r="D1439" s="17"/>
      <c r="E1439" s="218"/>
      <c r="F1439" s="218"/>
      <c r="G1439" s="218"/>
      <c r="H1439" s="218"/>
      <c r="I1439" s="218"/>
      <c r="J1439" s="218"/>
      <c r="K1439" s="218"/>
      <c r="L1439" s="218"/>
      <c r="M1439" s="277"/>
    </row>
    <row r="1440" spans="1:13" x14ac:dyDescent="0.2">
      <c r="A1440" s="231"/>
      <c r="B1440" s="9"/>
      <c r="C1440" s="7"/>
      <c r="D1440" s="17"/>
      <c r="E1440" s="218"/>
      <c r="F1440" s="218"/>
      <c r="G1440" s="218"/>
      <c r="H1440" s="218"/>
      <c r="I1440" s="218"/>
      <c r="J1440" s="218"/>
      <c r="K1440" s="218"/>
      <c r="L1440" s="218"/>
      <c r="M1440" s="277"/>
    </row>
    <row r="1441" spans="1:13" ht="36" x14ac:dyDescent="0.2">
      <c r="A1441" s="231" t="s">
        <v>691</v>
      </c>
      <c r="B1441" s="9" t="s">
        <v>1029</v>
      </c>
      <c r="C1441" s="7" t="s">
        <v>692</v>
      </c>
      <c r="D1441" s="17" t="s">
        <v>16</v>
      </c>
      <c r="E1441" s="218"/>
      <c r="F1441" s="218"/>
      <c r="G1441" s="218"/>
      <c r="H1441" s="218"/>
      <c r="I1441" s="218"/>
      <c r="J1441" s="218"/>
      <c r="K1441" s="218"/>
      <c r="L1441" s="218"/>
      <c r="M1441" s="272">
        <f>SUM(M1442,M1445)</f>
        <v>2</v>
      </c>
    </row>
    <row r="1442" spans="1:13" x14ac:dyDescent="0.2">
      <c r="A1442" s="231"/>
      <c r="B1442" s="9"/>
      <c r="C1442" s="7" t="s">
        <v>151</v>
      </c>
      <c r="D1442" s="17"/>
      <c r="E1442" s="218"/>
      <c r="F1442" s="218"/>
      <c r="G1442" s="218"/>
      <c r="H1442" s="218"/>
      <c r="I1442" s="218"/>
      <c r="J1442" s="218"/>
      <c r="K1442" s="218"/>
      <c r="L1442" s="218"/>
      <c r="M1442" s="277">
        <f>SUM(M1443)</f>
        <v>1</v>
      </c>
    </row>
    <row r="1443" spans="1:13" x14ac:dyDescent="0.2">
      <c r="A1443" s="231"/>
      <c r="B1443" s="9"/>
      <c r="C1443" s="7" t="s">
        <v>165</v>
      </c>
      <c r="D1443" s="17"/>
      <c r="E1443" s="218">
        <v>1</v>
      </c>
      <c r="F1443" s="218"/>
      <c r="G1443" s="218"/>
      <c r="H1443" s="218"/>
      <c r="I1443" s="218"/>
      <c r="J1443" s="218"/>
      <c r="K1443" s="218"/>
      <c r="L1443" s="218"/>
      <c r="M1443" s="281">
        <f>E1443</f>
        <v>1</v>
      </c>
    </row>
    <row r="1444" spans="1:13" x14ac:dyDescent="0.2">
      <c r="A1444" s="231"/>
      <c r="B1444" s="9"/>
      <c r="C1444" s="7"/>
      <c r="D1444" s="17"/>
      <c r="E1444" s="218"/>
      <c r="F1444" s="218"/>
      <c r="G1444" s="218"/>
      <c r="H1444" s="218"/>
      <c r="I1444" s="218"/>
      <c r="J1444" s="218"/>
      <c r="K1444" s="218"/>
      <c r="L1444" s="218"/>
      <c r="M1444" s="277"/>
    </row>
    <row r="1445" spans="1:13" x14ac:dyDescent="0.2">
      <c r="A1445" s="231"/>
      <c r="B1445" s="9"/>
      <c r="C1445" s="7" t="s">
        <v>152</v>
      </c>
      <c r="D1445" s="17"/>
      <c r="E1445" s="218"/>
      <c r="F1445" s="218"/>
      <c r="G1445" s="218"/>
      <c r="H1445" s="218"/>
      <c r="I1445" s="218"/>
      <c r="J1445" s="218"/>
      <c r="K1445" s="218"/>
      <c r="L1445" s="218"/>
      <c r="M1445" s="277">
        <f>SUM(M1446)</f>
        <v>1</v>
      </c>
    </row>
    <row r="1446" spans="1:13" x14ac:dyDescent="0.2">
      <c r="A1446" s="231"/>
      <c r="B1446" s="9"/>
      <c r="C1446" s="7" t="s">
        <v>171</v>
      </c>
      <c r="D1446" s="17"/>
      <c r="E1446" s="218">
        <v>1</v>
      </c>
      <c r="F1446" s="218"/>
      <c r="G1446" s="218"/>
      <c r="H1446" s="218"/>
      <c r="I1446" s="218"/>
      <c r="J1446" s="218"/>
      <c r="K1446" s="218"/>
      <c r="L1446" s="218"/>
      <c r="M1446" s="281">
        <f>E1446</f>
        <v>1</v>
      </c>
    </row>
    <row r="1447" spans="1:13" x14ac:dyDescent="0.2">
      <c r="A1447" s="231"/>
      <c r="B1447" s="9"/>
      <c r="C1447" s="7"/>
      <c r="D1447" s="17"/>
      <c r="E1447" s="218"/>
      <c r="F1447" s="218"/>
      <c r="G1447" s="218"/>
      <c r="H1447" s="218"/>
      <c r="I1447" s="218"/>
      <c r="J1447" s="218"/>
      <c r="K1447" s="218"/>
      <c r="L1447" s="218"/>
      <c r="M1447" s="277"/>
    </row>
    <row r="1448" spans="1:13" x14ac:dyDescent="0.2">
      <c r="A1448" s="231"/>
      <c r="B1448" s="9"/>
      <c r="C1448" s="7"/>
      <c r="D1448" s="17"/>
      <c r="E1448" s="218"/>
      <c r="F1448" s="218"/>
      <c r="G1448" s="218"/>
      <c r="H1448" s="218"/>
      <c r="I1448" s="218"/>
      <c r="J1448" s="218"/>
      <c r="K1448" s="218"/>
      <c r="L1448" s="218"/>
      <c r="M1448" s="277"/>
    </row>
    <row r="1449" spans="1:13" ht="48" x14ac:dyDescent="0.2">
      <c r="A1449" s="231">
        <v>86903</v>
      </c>
      <c r="B1449" s="9" t="s">
        <v>1030</v>
      </c>
      <c r="C1449" s="7" t="s">
        <v>693</v>
      </c>
      <c r="D1449" s="17" t="s">
        <v>16</v>
      </c>
      <c r="E1449" s="218"/>
      <c r="F1449" s="218"/>
      <c r="G1449" s="218"/>
      <c r="H1449" s="218"/>
      <c r="I1449" s="218"/>
      <c r="J1449" s="218"/>
      <c r="K1449" s="218"/>
      <c r="L1449" s="218"/>
      <c r="M1449" s="272">
        <f>SUM(M1450)</f>
        <v>1</v>
      </c>
    </row>
    <row r="1450" spans="1:13" x14ac:dyDescent="0.2">
      <c r="A1450" s="231"/>
      <c r="B1450" s="9"/>
      <c r="C1450" s="7" t="s">
        <v>151</v>
      </c>
      <c r="D1450" s="17"/>
      <c r="E1450" s="218"/>
      <c r="F1450" s="218"/>
      <c r="G1450" s="218"/>
      <c r="H1450" s="218"/>
      <c r="I1450" s="218"/>
      <c r="J1450" s="218"/>
      <c r="K1450" s="218"/>
      <c r="L1450" s="218"/>
      <c r="M1450" s="277">
        <f>SUM(M1451:M1453)</f>
        <v>1</v>
      </c>
    </row>
    <row r="1451" spans="1:13" x14ac:dyDescent="0.2">
      <c r="A1451" s="231"/>
      <c r="B1451" s="9"/>
      <c r="C1451" s="7" t="s">
        <v>438</v>
      </c>
      <c r="D1451" s="17"/>
      <c r="E1451" s="218">
        <v>1</v>
      </c>
      <c r="F1451" s="218"/>
      <c r="G1451" s="218"/>
      <c r="H1451" s="218"/>
      <c r="I1451" s="218"/>
      <c r="J1451" s="218"/>
      <c r="K1451" s="218"/>
      <c r="L1451" s="218"/>
      <c r="M1451" s="281">
        <f>E1451</f>
        <v>1</v>
      </c>
    </row>
    <row r="1452" spans="1:13" x14ac:dyDescent="0.2">
      <c r="A1452" s="231"/>
      <c r="B1452" s="9"/>
      <c r="C1452" s="7"/>
      <c r="D1452" s="17"/>
      <c r="E1452" s="218"/>
      <c r="F1452" s="218"/>
      <c r="G1452" s="218"/>
      <c r="H1452" s="218"/>
      <c r="I1452" s="218"/>
      <c r="J1452" s="218"/>
      <c r="K1452" s="218"/>
      <c r="L1452" s="218"/>
      <c r="M1452" s="277"/>
    </row>
    <row r="1453" spans="1:13" x14ac:dyDescent="0.2">
      <c r="A1453" s="231"/>
      <c r="B1453" s="9"/>
      <c r="C1453" s="7"/>
      <c r="D1453" s="17"/>
      <c r="E1453" s="218"/>
      <c r="F1453" s="218"/>
      <c r="G1453" s="218"/>
      <c r="H1453" s="218"/>
      <c r="I1453" s="218"/>
      <c r="J1453" s="218"/>
      <c r="K1453" s="218"/>
      <c r="L1453" s="218"/>
      <c r="M1453" s="277"/>
    </row>
    <row r="1454" spans="1:13" ht="60" x14ac:dyDescent="0.2">
      <c r="A1454" s="231" t="s">
        <v>139</v>
      </c>
      <c r="B1454" s="9" t="s">
        <v>1031</v>
      </c>
      <c r="C1454" s="7" t="s">
        <v>694</v>
      </c>
      <c r="D1454" s="17" t="s">
        <v>16</v>
      </c>
      <c r="E1454" s="218"/>
      <c r="F1454" s="218"/>
      <c r="G1454" s="218"/>
      <c r="H1454" s="218"/>
      <c r="I1454" s="218"/>
      <c r="J1454" s="218"/>
      <c r="K1454" s="218"/>
      <c r="L1454" s="218"/>
      <c r="M1454" s="272">
        <f>SUM(M1455)</f>
        <v>1</v>
      </c>
    </row>
    <row r="1455" spans="1:13" x14ac:dyDescent="0.2">
      <c r="A1455" s="231"/>
      <c r="B1455" s="9"/>
      <c r="C1455" s="7" t="s">
        <v>151</v>
      </c>
      <c r="D1455" s="17"/>
      <c r="E1455" s="218"/>
      <c r="F1455" s="218"/>
      <c r="G1455" s="218"/>
      <c r="H1455" s="218"/>
      <c r="I1455" s="218"/>
      <c r="J1455" s="218"/>
      <c r="K1455" s="218"/>
      <c r="L1455" s="218"/>
      <c r="M1455" s="277">
        <f>SUM(M1456)</f>
        <v>1</v>
      </c>
    </row>
    <row r="1456" spans="1:13" x14ac:dyDescent="0.2">
      <c r="A1456" s="236"/>
      <c r="B1456" s="327"/>
      <c r="C1456" s="328" t="s">
        <v>428</v>
      </c>
      <c r="D1456" s="329"/>
      <c r="E1456" s="354">
        <v>1</v>
      </c>
      <c r="F1456" s="354"/>
      <c r="G1456" s="354"/>
      <c r="H1456" s="354"/>
      <c r="I1456" s="354"/>
      <c r="J1456" s="354"/>
      <c r="K1456" s="354"/>
      <c r="L1456" s="354"/>
      <c r="M1456" s="340">
        <f>E1456</f>
        <v>1</v>
      </c>
    </row>
    <row r="1457" spans="1:13" x14ac:dyDescent="0.2">
      <c r="A1457" s="231"/>
      <c r="B1457" s="9"/>
      <c r="C1457" s="7"/>
      <c r="D1457" s="17"/>
      <c r="E1457" s="218"/>
      <c r="F1457" s="218"/>
      <c r="G1457" s="218"/>
      <c r="H1457" s="218"/>
      <c r="I1457" s="218"/>
      <c r="J1457" s="218"/>
      <c r="K1457" s="218"/>
      <c r="L1457" s="218"/>
      <c r="M1457" s="281"/>
    </row>
    <row r="1458" spans="1:13" x14ac:dyDescent="0.2">
      <c r="A1458" s="231"/>
      <c r="B1458" s="9"/>
      <c r="C1458" s="7"/>
      <c r="D1458" s="17"/>
      <c r="E1458" s="218"/>
      <c r="F1458" s="218"/>
      <c r="G1458" s="218"/>
      <c r="H1458" s="218"/>
      <c r="I1458" s="218"/>
      <c r="J1458" s="218"/>
      <c r="K1458" s="218"/>
      <c r="L1458" s="218"/>
      <c r="M1458" s="281"/>
    </row>
    <row r="1459" spans="1:13" ht="48" x14ac:dyDescent="0.2">
      <c r="A1459" s="231" t="s">
        <v>141</v>
      </c>
      <c r="B1459" s="9" t="s">
        <v>1032</v>
      </c>
      <c r="C1459" s="7" t="s">
        <v>297</v>
      </c>
      <c r="D1459" s="17" t="s">
        <v>16</v>
      </c>
      <c r="E1459" s="218"/>
      <c r="F1459" s="218"/>
      <c r="G1459" s="218"/>
      <c r="H1459" s="218"/>
      <c r="I1459" s="218"/>
      <c r="J1459" s="218"/>
      <c r="K1459" s="218"/>
      <c r="L1459" s="218"/>
      <c r="M1459" s="272">
        <f>SUM(M1460)</f>
        <v>1</v>
      </c>
    </row>
    <row r="1460" spans="1:13" x14ac:dyDescent="0.2">
      <c r="A1460" s="231"/>
      <c r="B1460" s="9"/>
      <c r="C1460" s="7" t="s">
        <v>151</v>
      </c>
      <c r="D1460" s="17"/>
      <c r="E1460" s="218"/>
      <c r="F1460" s="218"/>
      <c r="G1460" s="218"/>
      <c r="H1460" s="218"/>
      <c r="I1460" s="218"/>
      <c r="J1460" s="218"/>
      <c r="K1460" s="218"/>
      <c r="L1460" s="218"/>
      <c r="M1460" s="277">
        <f>SUM(M1461)</f>
        <v>1</v>
      </c>
    </row>
    <row r="1461" spans="1:13" x14ac:dyDescent="0.2">
      <c r="A1461" s="231"/>
      <c r="B1461" s="9"/>
      <c r="C1461" s="7" t="s">
        <v>428</v>
      </c>
      <c r="D1461" s="17"/>
      <c r="E1461" s="218">
        <v>1</v>
      </c>
      <c r="F1461" s="218"/>
      <c r="G1461" s="218"/>
      <c r="H1461" s="218"/>
      <c r="I1461" s="218"/>
      <c r="J1461" s="218"/>
      <c r="K1461" s="218"/>
      <c r="L1461" s="218"/>
      <c r="M1461" s="273">
        <f>E1461</f>
        <v>1</v>
      </c>
    </row>
    <row r="1462" spans="1:13" x14ac:dyDescent="0.2">
      <c r="A1462" s="231"/>
      <c r="B1462" s="9"/>
      <c r="C1462" s="7"/>
      <c r="D1462" s="17"/>
      <c r="E1462" s="218"/>
      <c r="F1462" s="218"/>
      <c r="G1462" s="218"/>
      <c r="H1462" s="218"/>
      <c r="I1462" s="218"/>
      <c r="J1462" s="218"/>
      <c r="K1462" s="218"/>
      <c r="L1462" s="218"/>
      <c r="M1462" s="273"/>
    </row>
    <row r="1463" spans="1:13" x14ac:dyDescent="0.2">
      <c r="A1463" s="231"/>
      <c r="B1463" s="9"/>
      <c r="C1463" s="7"/>
      <c r="D1463" s="17"/>
      <c r="E1463" s="218"/>
      <c r="F1463" s="218"/>
      <c r="G1463" s="218"/>
      <c r="H1463" s="218"/>
      <c r="I1463" s="218"/>
      <c r="J1463" s="218"/>
      <c r="K1463" s="218"/>
      <c r="L1463" s="218"/>
      <c r="M1463" s="273"/>
    </row>
    <row r="1464" spans="1:13" ht="48" x14ac:dyDescent="0.2">
      <c r="A1464" s="231" t="s">
        <v>146</v>
      </c>
      <c r="B1464" s="9" t="s">
        <v>1033</v>
      </c>
      <c r="C1464" s="7" t="s">
        <v>147</v>
      </c>
      <c r="D1464" s="17" t="s">
        <v>16</v>
      </c>
      <c r="E1464" s="218"/>
      <c r="F1464" s="218"/>
      <c r="G1464" s="218"/>
      <c r="H1464" s="218"/>
      <c r="I1464" s="218"/>
      <c r="J1464" s="218"/>
      <c r="K1464" s="218"/>
      <c r="L1464" s="218"/>
      <c r="M1464" s="272">
        <f>SUM(M1465)</f>
        <v>4</v>
      </c>
    </row>
    <row r="1465" spans="1:13" x14ac:dyDescent="0.2">
      <c r="A1465" s="231"/>
      <c r="B1465" s="9"/>
      <c r="C1465" s="7" t="s">
        <v>151</v>
      </c>
      <c r="D1465" s="17"/>
      <c r="E1465" s="218"/>
      <c r="F1465" s="218"/>
      <c r="G1465" s="218"/>
      <c r="H1465" s="218"/>
      <c r="I1465" s="218"/>
      <c r="J1465" s="218"/>
      <c r="K1465" s="218"/>
      <c r="L1465" s="218"/>
      <c r="M1465" s="277">
        <f>SUM(M1466)</f>
        <v>4</v>
      </c>
    </row>
    <row r="1466" spans="1:13" x14ac:dyDescent="0.2">
      <c r="A1466" s="231"/>
      <c r="B1466" s="9"/>
      <c r="C1466" s="7" t="s">
        <v>428</v>
      </c>
      <c r="D1466" s="17"/>
      <c r="E1466" s="218">
        <v>4</v>
      </c>
      <c r="F1466" s="218"/>
      <c r="G1466" s="218"/>
      <c r="H1466" s="218"/>
      <c r="I1466" s="218"/>
      <c r="J1466" s="218"/>
      <c r="K1466" s="218"/>
      <c r="L1466" s="218"/>
      <c r="M1466" s="273">
        <f>E1466</f>
        <v>4</v>
      </c>
    </row>
    <row r="1467" spans="1:13" x14ac:dyDescent="0.2">
      <c r="A1467" s="231"/>
      <c r="B1467" s="9"/>
      <c r="C1467" s="7"/>
      <c r="D1467" s="17"/>
      <c r="E1467" s="218"/>
      <c r="F1467" s="218"/>
      <c r="G1467" s="218"/>
      <c r="H1467" s="218"/>
      <c r="I1467" s="218"/>
      <c r="J1467" s="218"/>
      <c r="K1467" s="218"/>
      <c r="L1467" s="218"/>
      <c r="M1467" s="273"/>
    </row>
    <row r="1468" spans="1:13" x14ac:dyDescent="0.2">
      <c r="A1468" s="231"/>
      <c r="B1468" s="9"/>
      <c r="C1468" s="7"/>
      <c r="D1468" s="17"/>
      <c r="E1468" s="218"/>
      <c r="F1468" s="218"/>
      <c r="G1468" s="218"/>
      <c r="H1468" s="218"/>
      <c r="I1468" s="218"/>
      <c r="J1468" s="218"/>
      <c r="K1468" s="218"/>
      <c r="L1468" s="218"/>
      <c r="M1468" s="273"/>
    </row>
    <row r="1469" spans="1:13" ht="36" x14ac:dyDescent="0.2">
      <c r="A1469" s="231" t="s">
        <v>148</v>
      </c>
      <c r="B1469" s="9" t="s">
        <v>1034</v>
      </c>
      <c r="C1469" s="7" t="s">
        <v>695</v>
      </c>
      <c r="D1469" s="17" t="s">
        <v>16</v>
      </c>
      <c r="E1469" s="218"/>
      <c r="F1469" s="218"/>
      <c r="G1469" s="218"/>
      <c r="H1469" s="218"/>
      <c r="I1469" s="218"/>
      <c r="J1469" s="218"/>
      <c r="K1469" s="218"/>
      <c r="L1469" s="218"/>
      <c r="M1469" s="272">
        <f>SUM(M1470)</f>
        <v>2</v>
      </c>
    </row>
    <row r="1470" spans="1:13" x14ac:dyDescent="0.2">
      <c r="A1470" s="231"/>
      <c r="B1470" s="9"/>
      <c r="C1470" s="7" t="s">
        <v>151</v>
      </c>
      <c r="D1470" s="17"/>
      <c r="E1470" s="218"/>
      <c r="F1470" s="218"/>
      <c r="G1470" s="218"/>
      <c r="H1470" s="218"/>
      <c r="I1470" s="218"/>
      <c r="J1470" s="218"/>
      <c r="K1470" s="218"/>
      <c r="L1470" s="218"/>
      <c r="M1470" s="277">
        <f>SUM(M1471)</f>
        <v>2</v>
      </c>
    </row>
    <row r="1471" spans="1:13" x14ac:dyDescent="0.2">
      <c r="A1471" s="231"/>
      <c r="B1471" s="9"/>
      <c r="C1471" s="7" t="s">
        <v>428</v>
      </c>
      <c r="D1471" s="17"/>
      <c r="E1471" s="218">
        <v>2</v>
      </c>
      <c r="F1471" s="218"/>
      <c r="G1471" s="218"/>
      <c r="H1471" s="218"/>
      <c r="I1471" s="218"/>
      <c r="J1471" s="218"/>
      <c r="K1471" s="218"/>
      <c r="L1471" s="218"/>
      <c r="M1471" s="273">
        <f>E1471</f>
        <v>2</v>
      </c>
    </row>
    <row r="1472" spans="1:13" x14ac:dyDescent="0.2">
      <c r="A1472" s="231"/>
      <c r="B1472" s="9"/>
      <c r="C1472" s="7"/>
      <c r="D1472" s="17"/>
      <c r="E1472" s="218"/>
      <c r="F1472" s="218"/>
      <c r="G1472" s="218"/>
      <c r="H1472" s="218"/>
      <c r="I1472" s="218"/>
      <c r="J1472" s="218"/>
      <c r="K1472" s="218"/>
      <c r="L1472" s="218"/>
      <c r="M1472" s="273"/>
    </row>
    <row r="1473" spans="1:13" x14ac:dyDescent="0.2">
      <c r="A1473" s="231"/>
      <c r="B1473" s="9"/>
      <c r="C1473" s="7"/>
      <c r="D1473" s="17"/>
      <c r="E1473" s="218"/>
      <c r="F1473" s="218"/>
      <c r="G1473" s="218"/>
      <c r="H1473" s="218"/>
      <c r="I1473" s="218"/>
      <c r="J1473" s="218"/>
      <c r="K1473" s="218"/>
      <c r="L1473" s="218"/>
      <c r="M1473" s="273"/>
    </row>
    <row r="1474" spans="1:13" ht="60" x14ac:dyDescent="0.2">
      <c r="A1474" s="231" t="s">
        <v>696</v>
      </c>
      <c r="B1474" s="9" t="s">
        <v>1035</v>
      </c>
      <c r="C1474" s="7" t="s">
        <v>697</v>
      </c>
      <c r="D1474" s="17" t="s">
        <v>16</v>
      </c>
      <c r="E1474" s="218"/>
      <c r="F1474" s="218"/>
      <c r="G1474" s="218"/>
      <c r="H1474" s="218"/>
      <c r="I1474" s="218"/>
      <c r="J1474" s="218"/>
      <c r="K1474" s="218"/>
      <c r="L1474" s="218"/>
      <c r="M1474" s="272">
        <f>SUM(M1475)</f>
        <v>0.88000000000000012</v>
      </c>
    </row>
    <row r="1475" spans="1:13" x14ac:dyDescent="0.2">
      <c r="A1475" s="231"/>
      <c r="B1475" s="9"/>
      <c r="C1475" s="7" t="s">
        <v>152</v>
      </c>
      <c r="D1475" s="17"/>
      <c r="E1475" s="218"/>
      <c r="F1475" s="218"/>
      <c r="G1475" s="218"/>
      <c r="H1475" s="218"/>
      <c r="I1475" s="218"/>
      <c r="J1475" s="218"/>
      <c r="K1475" s="218"/>
      <c r="L1475" s="218"/>
      <c r="M1475" s="282">
        <f>SUM(M1476)</f>
        <v>0.88000000000000012</v>
      </c>
    </row>
    <row r="1476" spans="1:13" x14ac:dyDescent="0.2">
      <c r="A1476" s="231"/>
      <c r="B1476" s="9"/>
      <c r="C1476" s="7" t="s">
        <v>441</v>
      </c>
      <c r="D1476" s="17"/>
      <c r="E1476" s="218">
        <v>2</v>
      </c>
      <c r="F1476" s="218">
        <v>1.1000000000000001</v>
      </c>
      <c r="G1476" s="218"/>
      <c r="H1476" s="218">
        <v>0.4</v>
      </c>
      <c r="I1476" s="218"/>
      <c r="J1476" s="218"/>
      <c r="K1476" s="218"/>
      <c r="L1476" s="218"/>
      <c r="M1476" s="273">
        <f>E1476*F1476*H1476</f>
        <v>0.88000000000000012</v>
      </c>
    </row>
    <row r="1477" spans="1:13" x14ac:dyDescent="0.2">
      <c r="A1477" s="231"/>
      <c r="B1477" s="9"/>
      <c r="C1477" s="7"/>
      <c r="D1477" s="17"/>
      <c r="E1477" s="218"/>
      <c r="F1477" s="218"/>
      <c r="G1477" s="218"/>
      <c r="H1477" s="218"/>
      <c r="I1477" s="218"/>
      <c r="J1477" s="218"/>
      <c r="K1477" s="218"/>
      <c r="L1477" s="218"/>
      <c r="M1477" s="273"/>
    </row>
    <row r="1478" spans="1:13" x14ac:dyDescent="0.2">
      <c r="A1478" s="231"/>
      <c r="B1478" s="9"/>
      <c r="C1478" s="7"/>
      <c r="D1478" s="17"/>
      <c r="E1478" s="218"/>
      <c r="F1478" s="218"/>
      <c r="G1478" s="218"/>
      <c r="H1478" s="218"/>
      <c r="I1478" s="218"/>
      <c r="J1478" s="218"/>
      <c r="K1478" s="218"/>
      <c r="L1478" s="218"/>
      <c r="M1478" s="273"/>
    </row>
    <row r="1479" spans="1:13" ht="48" x14ac:dyDescent="0.2">
      <c r="A1479" s="231" t="s">
        <v>142</v>
      </c>
      <c r="B1479" s="9" t="s">
        <v>1036</v>
      </c>
      <c r="C1479" s="7" t="s">
        <v>143</v>
      </c>
      <c r="D1479" s="17" t="s">
        <v>16</v>
      </c>
      <c r="E1479" s="218"/>
      <c r="F1479" s="218"/>
      <c r="G1479" s="218"/>
      <c r="H1479" s="218"/>
      <c r="I1479" s="218"/>
      <c r="J1479" s="218"/>
      <c r="K1479" s="218"/>
      <c r="L1479" s="218"/>
      <c r="M1479" s="272">
        <f>SUM(M1480,M1484)</f>
        <v>3</v>
      </c>
    </row>
    <row r="1480" spans="1:13" x14ac:dyDescent="0.2">
      <c r="A1480" s="231"/>
      <c r="B1480" s="9"/>
      <c r="C1480" s="7" t="s">
        <v>151</v>
      </c>
      <c r="D1480" s="17"/>
      <c r="E1480" s="218"/>
      <c r="F1480" s="218"/>
      <c r="G1480" s="218"/>
      <c r="H1480" s="218"/>
      <c r="I1480" s="218"/>
      <c r="J1480" s="218"/>
      <c r="K1480" s="218"/>
      <c r="L1480" s="218"/>
      <c r="M1480" s="277">
        <f>SUM(M1481:M1482)</f>
        <v>2</v>
      </c>
    </row>
    <row r="1481" spans="1:13" x14ac:dyDescent="0.2">
      <c r="A1481" s="231"/>
      <c r="B1481" s="9"/>
      <c r="C1481" s="7" t="s">
        <v>437</v>
      </c>
      <c r="D1481" s="17"/>
      <c r="E1481" s="218">
        <v>1</v>
      </c>
      <c r="F1481" s="218"/>
      <c r="G1481" s="218"/>
      <c r="H1481" s="218"/>
      <c r="I1481" s="218"/>
      <c r="J1481" s="218"/>
      <c r="K1481" s="218"/>
      <c r="L1481" s="218"/>
      <c r="M1481" s="281">
        <f>E1481</f>
        <v>1</v>
      </c>
    </row>
    <row r="1482" spans="1:13" x14ac:dyDescent="0.2">
      <c r="A1482" s="231"/>
      <c r="B1482" s="9"/>
      <c r="C1482" s="7" t="s">
        <v>428</v>
      </c>
      <c r="D1482" s="17"/>
      <c r="E1482" s="218">
        <v>1</v>
      </c>
      <c r="F1482" s="218"/>
      <c r="G1482" s="218"/>
      <c r="H1482" s="218"/>
      <c r="I1482" s="218"/>
      <c r="J1482" s="218"/>
      <c r="K1482" s="218"/>
      <c r="L1482" s="218"/>
      <c r="M1482" s="281">
        <f>E1482</f>
        <v>1</v>
      </c>
    </row>
    <row r="1483" spans="1:13" x14ac:dyDescent="0.2">
      <c r="A1483" s="231"/>
      <c r="B1483" s="9"/>
      <c r="C1483" s="7"/>
      <c r="D1483" s="17"/>
      <c r="E1483" s="218"/>
      <c r="F1483" s="218"/>
      <c r="G1483" s="218"/>
      <c r="H1483" s="218"/>
      <c r="I1483" s="218"/>
      <c r="J1483" s="218"/>
      <c r="K1483" s="218"/>
      <c r="L1483" s="218"/>
      <c r="M1483" s="273"/>
    </row>
    <row r="1484" spans="1:13" x14ac:dyDescent="0.2">
      <c r="A1484" s="231"/>
      <c r="B1484" s="9"/>
      <c r="C1484" s="7" t="s">
        <v>152</v>
      </c>
      <c r="D1484" s="17"/>
      <c r="E1484" s="218"/>
      <c r="F1484" s="218"/>
      <c r="G1484" s="218"/>
      <c r="H1484" s="218"/>
      <c r="I1484" s="218"/>
      <c r="J1484" s="218"/>
      <c r="K1484" s="218"/>
      <c r="L1484" s="218"/>
      <c r="M1484" s="277">
        <f>SUM(M1485:M1486)</f>
        <v>1</v>
      </c>
    </row>
    <row r="1485" spans="1:13" x14ac:dyDescent="0.2">
      <c r="A1485" s="231"/>
      <c r="B1485" s="9"/>
      <c r="C1485" s="7" t="s">
        <v>660</v>
      </c>
      <c r="D1485" s="17"/>
      <c r="E1485" s="218">
        <v>1</v>
      </c>
      <c r="F1485" s="218"/>
      <c r="G1485" s="218"/>
      <c r="H1485" s="218"/>
      <c r="I1485" s="218"/>
      <c r="J1485" s="218"/>
      <c r="K1485" s="218"/>
      <c r="L1485" s="218"/>
      <c r="M1485" s="281">
        <f>E1485</f>
        <v>1</v>
      </c>
    </row>
    <row r="1486" spans="1:13" x14ac:dyDescent="0.2">
      <c r="A1486" s="231"/>
      <c r="B1486" s="9"/>
      <c r="C1486" s="7"/>
      <c r="D1486" s="17"/>
      <c r="E1486" s="218"/>
      <c r="F1486" s="218"/>
      <c r="G1486" s="218"/>
      <c r="H1486" s="218"/>
      <c r="I1486" s="218"/>
      <c r="J1486" s="218"/>
      <c r="K1486" s="218"/>
      <c r="L1486" s="218"/>
      <c r="M1486" s="281"/>
    </row>
    <row r="1487" spans="1:13" x14ac:dyDescent="0.2">
      <c r="A1487" s="231"/>
      <c r="B1487" s="9"/>
      <c r="C1487" s="7"/>
      <c r="D1487" s="17"/>
      <c r="E1487" s="218"/>
      <c r="F1487" s="218"/>
      <c r="G1487" s="218"/>
      <c r="H1487" s="218"/>
      <c r="I1487" s="218"/>
      <c r="J1487" s="218"/>
      <c r="K1487" s="218"/>
      <c r="L1487" s="218"/>
      <c r="M1487" s="281"/>
    </row>
    <row r="1488" spans="1:13" x14ac:dyDescent="0.2">
      <c r="A1488" s="274"/>
      <c r="B1488" s="29" t="s">
        <v>247</v>
      </c>
      <c r="C1488" s="30" t="s">
        <v>133</v>
      </c>
      <c r="D1488" s="31"/>
      <c r="E1488" s="31"/>
      <c r="F1488" s="31"/>
      <c r="G1488" s="31"/>
      <c r="H1488" s="31"/>
      <c r="I1488" s="31"/>
      <c r="J1488" s="31"/>
      <c r="K1488" s="31"/>
      <c r="L1488" s="31"/>
      <c r="M1488" s="275"/>
    </row>
    <row r="1489" spans="1:13" ht="216" x14ac:dyDescent="0.2">
      <c r="A1489" s="231" t="s">
        <v>149</v>
      </c>
      <c r="B1489" s="9" t="s">
        <v>315</v>
      </c>
      <c r="C1489" s="7" t="s">
        <v>298</v>
      </c>
      <c r="D1489" s="17" t="s">
        <v>16</v>
      </c>
      <c r="E1489" s="218"/>
      <c r="F1489" s="218"/>
      <c r="G1489" s="218"/>
      <c r="H1489" s="218"/>
      <c r="I1489" s="218"/>
      <c r="J1489" s="218"/>
      <c r="K1489" s="218"/>
      <c r="L1489" s="218"/>
      <c r="M1489" s="272">
        <f>SUM(M1490)</f>
        <v>1</v>
      </c>
    </row>
    <row r="1490" spans="1:13" x14ac:dyDescent="0.2">
      <c r="A1490" s="231"/>
      <c r="B1490" s="9"/>
      <c r="C1490" s="11"/>
      <c r="D1490" s="10"/>
      <c r="E1490" s="218">
        <v>1</v>
      </c>
      <c r="F1490" s="218"/>
      <c r="G1490" s="218"/>
      <c r="H1490" s="218"/>
      <c r="I1490" s="218"/>
      <c r="J1490" s="218"/>
      <c r="K1490" s="218"/>
      <c r="L1490" s="218"/>
      <c r="M1490" s="273">
        <f>E1490</f>
        <v>1</v>
      </c>
    </row>
    <row r="1491" spans="1:13" x14ac:dyDescent="0.2">
      <c r="A1491" s="231"/>
      <c r="B1491" s="9"/>
      <c r="C1491" s="11"/>
      <c r="D1491" s="10"/>
      <c r="E1491" s="218"/>
      <c r="F1491" s="218"/>
      <c r="G1491" s="218"/>
      <c r="H1491" s="218"/>
      <c r="I1491" s="218"/>
      <c r="J1491" s="218"/>
      <c r="K1491" s="218"/>
      <c r="L1491" s="218"/>
      <c r="M1491" s="273"/>
    </row>
    <row r="1492" spans="1:13" x14ac:dyDescent="0.2">
      <c r="A1492" s="231"/>
      <c r="B1492" s="9"/>
      <c r="C1492" s="11"/>
      <c r="D1492" s="10"/>
      <c r="E1492" s="218"/>
      <c r="F1492" s="218"/>
      <c r="G1492" s="218"/>
      <c r="H1492" s="218"/>
      <c r="I1492" s="218"/>
      <c r="J1492" s="218"/>
      <c r="K1492" s="218"/>
      <c r="L1492" s="218"/>
      <c r="M1492" s="273"/>
    </row>
    <row r="1493" spans="1:13" x14ac:dyDescent="0.2">
      <c r="A1493" s="231"/>
      <c r="B1493" s="9"/>
      <c r="C1493" s="11"/>
      <c r="D1493" s="10"/>
      <c r="E1493" s="218"/>
      <c r="F1493" s="218"/>
      <c r="G1493" s="218"/>
      <c r="H1493" s="218"/>
      <c r="I1493" s="218"/>
      <c r="J1493" s="218"/>
      <c r="K1493" s="218"/>
      <c r="L1493" s="218"/>
      <c r="M1493" s="273"/>
    </row>
    <row r="1494" spans="1:13" x14ac:dyDescent="0.2">
      <c r="A1494" s="231"/>
      <c r="B1494" s="9"/>
      <c r="C1494" s="11"/>
      <c r="D1494" s="10"/>
      <c r="E1494" s="218"/>
      <c r="F1494" s="218"/>
      <c r="G1494" s="218"/>
      <c r="H1494" s="218"/>
      <c r="I1494" s="218"/>
      <c r="J1494" s="218"/>
      <c r="K1494" s="218"/>
      <c r="L1494" s="218"/>
      <c r="M1494" s="273"/>
    </row>
    <row r="1495" spans="1:13" x14ac:dyDescent="0.2">
      <c r="A1495" s="231"/>
      <c r="B1495" s="9"/>
      <c r="C1495" s="11"/>
      <c r="D1495" s="10"/>
      <c r="E1495" s="218"/>
      <c r="F1495" s="218"/>
      <c r="G1495" s="218"/>
      <c r="H1495" s="218"/>
      <c r="I1495" s="218"/>
      <c r="J1495" s="218"/>
      <c r="K1495" s="218"/>
      <c r="L1495" s="218"/>
      <c r="M1495" s="273"/>
    </row>
    <row r="1496" spans="1:13" x14ac:dyDescent="0.2">
      <c r="A1496" s="231"/>
      <c r="B1496" s="9"/>
      <c r="C1496" s="11"/>
      <c r="D1496" s="10"/>
      <c r="E1496" s="218"/>
      <c r="F1496" s="218"/>
      <c r="G1496" s="218"/>
      <c r="H1496" s="218"/>
      <c r="I1496" s="218"/>
      <c r="J1496" s="218"/>
      <c r="K1496" s="218"/>
      <c r="L1496" s="218"/>
      <c r="M1496" s="273"/>
    </row>
    <row r="1497" spans="1:13" x14ac:dyDescent="0.2">
      <c r="A1497" s="231"/>
      <c r="B1497" s="9"/>
      <c r="C1497" s="11"/>
      <c r="D1497" s="10"/>
      <c r="E1497" s="218"/>
      <c r="F1497" s="218"/>
      <c r="G1497" s="218"/>
      <c r="H1497" s="218"/>
      <c r="I1497" s="218"/>
      <c r="J1497" s="218"/>
      <c r="K1497" s="218"/>
      <c r="L1497" s="218"/>
      <c r="M1497" s="273"/>
    </row>
    <row r="1498" spans="1:13" x14ac:dyDescent="0.2">
      <c r="A1498" s="231"/>
      <c r="B1498" s="9"/>
      <c r="C1498" s="11"/>
      <c r="D1498" s="10"/>
      <c r="E1498" s="218"/>
      <c r="F1498" s="218"/>
      <c r="G1498" s="218"/>
      <c r="H1498" s="218"/>
      <c r="I1498" s="218"/>
      <c r="J1498" s="218"/>
      <c r="K1498" s="218"/>
      <c r="L1498" s="218"/>
      <c r="M1498" s="273"/>
    </row>
    <row r="1499" spans="1:13" x14ac:dyDescent="0.2">
      <c r="A1499" s="231"/>
      <c r="B1499" s="9"/>
      <c r="C1499" s="11"/>
      <c r="D1499" s="10"/>
      <c r="E1499" s="218"/>
      <c r="F1499" s="218"/>
      <c r="G1499" s="218"/>
      <c r="H1499" s="218"/>
      <c r="I1499" s="218"/>
      <c r="J1499" s="218"/>
      <c r="K1499" s="218"/>
      <c r="L1499" s="218"/>
      <c r="M1499" s="273"/>
    </row>
    <row r="1500" spans="1:13" x14ac:dyDescent="0.2">
      <c r="A1500" s="231"/>
      <c r="B1500" s="9"/>
      <c r="C1500" s="11"/>
      <c r="D1500" s="10"/>
      <c r="E1500" s="218"/>
      <c r="F1500" s="218"/>
      <c r="G1500" s="218"/>
      <c r="H1500" s="218"/>
      <c r="I1500" s="218"/>
      <c r="J1500" s="218"/>
      <c r="K1500" s="218"/>
      <c r="L1500" s="218"/>
      <c r="M1500" s="273"/>
    </row>
    <row r="1501" spans="1:13" x14ac:dyDescent="0.2">
      <c r="A1501" s="231"/>
      <c r="B1501" s="9"/>
      <c r="C1501" s="11"/>
      <c r="D1501" s="10"/>
      <c r="E1501" s="218"/>
      <c r="F1501" s="218"/>
      <c r="G1501" s="218"/>
      <c r="H1501" s="218"/>
      <c r="I1501" s="218"/>
      <c r="J1501" s="218"/>
      <c r="K1501" s="218"/>
      <c r="L1501" s="218"/>
      <c r="M1501" s="273"/>
    </row>
    <row r="1502" spans="1:13" x14ac:dyDescent="0.2">
      <c r="A1502" s="231"/>
      <c r="B1502" s="9"/>
      <c r="C1502" s="11"/>
      <c r="D1502" s="10"/>
      <c r="E1502" s="218"/>
      <c r="F1502" s="218"/>
      <c r="G1502" s="218"/>
      <c r="H1502" s="218"/>
      <c r="I1502" s="218"/>
      <c r="J1502" s="218"/>
      <c r="K1502" s="218"/>
      <c r="L1502" s="218"/>
      <c r="M1502" s="273"/>
    </row>
    <row r="1503" spans="1:13" x14ac:dyDescent="0.2">
      <c r="A1503" s="231"/>
      <c r="B1503" s="9"/>
      <c r="C1503" s="11"/>
      <c r="D1503" s="10"/>
      <c r="E1503" s="218"/>
      <c r="F1503" s="218"/>
      <c r="G1503" s="218"/>
      <c r="H1503" s="218"/>
      <c r="I1503" s="218"/>
      <c r="J1503" s="218"/>
      <c r="K1503" s="218"/>
      <c r="L1503" s="218"/>
      <c r="M1503" s="273"/>
    </row>
    <row r="1504" spans="1:13" x14ac:dyDescent="0.2">
      <c r="A1504" s="231"/>
      <c r="B1504" s="9"/>
      <c r="C1504" s="11"/>
      <c r="D1504" s="10"/>
      <c r="E1504" s="218"/>
      <c r="F1504" s="218"/>
      <c r="G1504" s="218"/>
      <c r="H1504" s="218"/>
      <c r="I1504" s="218"/>
      <c r="J1504" s="218"/>
      <c r="K1504" s="218"/>
      <c r="L1504" s="218"/>
      <c r="M1504" s="273"/>
    </row>
    <row r="1505" spans="1:13" x14ac:dyDescent="0.2">
      <c r="A1505" s="231"/>
      <c r="B1505" s="9"/>
      <c r="C1505" s="11"/>
      <c r="D1505" s="10"/>
      <c r="E1505" s="218"/>
      <c r="F1505" s="218"/>
      <c r="G1505" s="218"/>
      <c r="H1505" s="218"/>
      <c r="I1505" s="218"/>
      <c r="J1505" s="218"/>
      <c r="K1505" s="218"/>
      <c r="L1505" s="218"/>
      <c r="M1505" s="273"/>
    </row>
    <row r="1506" spans="1:13" ht="15" thickBot="1" x14ac:dyDescent="0.25">
      <c r="A1506" s="303"/>
      <c r="B1506" s="304"/>
      <c r="C1506" s="305"/>
      <c r="D1506" s="306"/>
      <c r="E1506" s="307"/>
      <c r="F1506" s="307"/>
      <c r="G1506" s="307"/>
      <c r="H1506" s="307"/>
      <c r="I1506" s="307"/>
      <c r="J1506" s="307"/>
      <c r="K1506" s="307"/>
      <c r="L1506" s="307"/>
      <c r="M1506" s="308"/>
    </row>
    <row r="1507" spans="1:13" x14ac:dyDescent="0.2">
      <c r="E1507" s="2"/>
      <c r="F1507" s="2"/>
      <c r="G1507" s="2"/>
      <c r="H1507" s="2"/>
      <c r="I1507" s="2"/>
      <c r="J1507" s="2"/>
      <c r="K1507" s="2"/>
      <c r="L1507" s="2"/>
      <c r="M1507" s="2"/>
    </row>
    <row r="1508" spans="1:13" x14ac:dyDescent="0.2">
      <c r="E1508" s="2"/>
      <c r="F1508" s="2"/>
      <c r="G1508" s="2"/>
      <c r="H1508" s="2"/>
      <c r="I1508" s="2"/>
      <c r="J1508" s="2"/>
      <c r="K1508" s="2"/>
      <c r="L1508" s="2"/>
      <c r="M1508" s="2"/>
    </row>
    <row r="1509" spans="1:13" x14ac:dyDescent="0.2">
      <c r="E1509" s="2"/>
      <c r="F1509" s="2"/>
      <c r="G1509" s="2"/>
      <c r="H1509" s="2"/>
      <c r="I1509" s="2"/>
      <c r="J1509" s="2"/>
      <c r="K1509" s="2"/>
      <c r="L1509" s="2"/>
      <c r="M1509" s="2"/>
    </row>
    <row r="1510" spans="1:13" x14ac:dyDescent="0.2">
      <c r="E1510" s="2"/>
      <c r="F1510" s="2"/>
      <c r="G1510" s="2"/>
      <c r="H1510" s="2"/>
      <c r="I1510" s="2"/>
      <c r="J1510" s="2"/>
      <c r="K1510" s="2"/>
      <c r="L1510" s="2"/>
      <c r="M1510" s="2"/>
    </row>
    <row r="1511" spans="1:13" x14ac:dyDescent="0.2">
      <c r="E1511" s="2"/>
      <c r="F1511" s="2"/>
      <c r="G1511" s="2"/>
      <c r="H1511" s="2"/>
      <c r="I1511" s="2"/>
      <c r="J1511" s="2"/>
      <c r="K1511" s="2"/>
      <c r="L1511" s="2"/>
      <c r="M1511" s="2"/>
    </row>
    <row r="1512" spans="1:13" x14ac:dyDescent="0.2">
      <c r="E1512" s="2"/>
      <c r="F1512" s="2"/>
      <c r="G1512" s="2"/>
      <c r="H1512" s="2"/>
      <c r="I1512" s="2"/>
      <c r="J1512" s="2"/>
      <c r="K1512" s="2"/>
      <c r="L1512" s="2"/>
      <c r="M1512" s="2"/>
    </row>
    <row r="1513" spans="1:13" x14ac:dyDescent="0.2">
      <c r="E1513" s="2"/>
      <c r="F1513" s="2"/>
      <c r="G1513" s="2"/>
      <c r="H1513" s="2"/>
      <c r="I1513" s="2"/>
      <c r="J1513" s="2"/>
      <c r="K1513" s="2"/>
      <c r="L1513" s="2"/>
      <c r="M1513" s="2"/>
    </row>
  </sheetData>
  <mergeCells count="38">
    <mergeCell ref="K1214:L1215"/>
    <mergeCell ref="G1212:G1213"/>
    <mergeCell ref="H1212:I1212"/>
    <mergeCell ref="H1213:I1213"/>
    <mergeCell ref="G1214:I1214"/>
    <mergeCell ref="G1215:I1215"/>
    <mergeCell ref="H1066:I1067"/>
    <mergeCell ref="H1146:I1147"/>
    <mergeCell ref="K1066:L1066"/>
    <mergeCell ref="K1067:L1067"/>
    <mergeCell ref="K1146:L1146"/>
    <mergeCell ref="K1147:L1147"/>
    <mergeCell ref="K1068:L1068"/>
    <mergeCell ref="D1070:E1070"/>
    <mergeCell ref="G1275:G1276"/>
    <mergeCell ref="H1275:I1275"/>
    <mergeCell ref="H1276:I1276"/>
    <mergeCell ref="D1114:E1114"/>
    <mergeCell ref="H1206:I1206"/>
    <mergeCell ref="G1208:G1209"/>
    <mergeCell ref="H1208:I1208"/>
    <mergeCell ref="H1209:I1209"/>
    <mergeCell ref="G1210:G1211"/>
    <mergeCell ref="H1210:I1210"/>
    <mergeCell ref="H1211:I1211"/>
    <mergeCell ref="K1148:L1148"/>
    <mergeCell ref="D1102:E1102"/>
    <mergeCell ref="D1150:E1150"/>
    <mergeCell ref="D1190:E1190"/>
    <mergeCell ref="H1205:I1205"/>
    <mergeCell ref="G1205:G1206"/>
    <mergeCell ref="D1049:E1049"/>
    <mergeCell ref="A11:F11"/>
    <mergeCell ref="G11:H11"/>
    <mergeCell ref="A12:F12"/>
    <mergeCell ref="G13:H13"/>
    <mergeCell ref="A14:M14"/>
    <mergeCell ref="K13:L13"/>
  </mergeCells>
  <hyperlinks>
    <hyperlink ref="M15" r:id="rId1" display="DATA:Setembro/2010"/>
  </hyperlinks>
  <printOptions horizontalCentered="1"/>
  <pageMargins left="0.59055118110236227" right="0.59055118110236227" top="0.78740157480314965" bottom="0.78740157480314965" header="0.31496062992125984" footer="0.31496062992125984"/>
  <pageSetup paperSize="9" scale="56"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view="pageBreakPreview" zoomScaleNormal="100" workbookViewId="0">
      <selection activeCell="I37" sqref="I37"/>
    </sheetView>
  </sheetViews>
  <sheetFormatPr defaultRowHeight="12.75" x14ac:dyDescent="0.2"/>
  <cols>
    <col min="1" max="1" width="9.140625" style="361"/>
    <col min="2" max="2" width="31.42578125" style="361" customWidth="1"/>
    <col min="3" max="3" width="13.5703125" style="361" customWidth="1"/>
    <col min="4" max="4" width="13.7109375" style="361" customWidth="1"/>
    <col min="5" max="9" width="15.140625" style="361" customWidth="1"/>
    <col min="10" max="10" width="13.7109375" style="361" customWidth="1"/>
    <col min="11" max="11" width="13" style="361" customWidth="1"/>
    <col min="12" max="14" width="10.140625" style="361" bestFit="1" customWidth="1"/>
    <col min="15" max="259" width="9.140625" style="361"/>
    <col min="260" max="260" width="31.42578125" style="361" customWidth="1"/>
    <col min="261" max="261" width="13.5703125" style="361" customWidth="1"/>
    <col min="262" max="262" width="13.7109375" style="361" customWidth="1"/>
    <col min="263" max="264" width="15.140625" style="361" customWidth="1"/>
    <col min="265" max="265" width="13.7109375" style="361" customWidth="1"/>
    <col min="266" max="266" width="13" style="361" customWidth="1"/>
    <col min="267" max="267" width="16.85546875" style="361" customWidth="1"/>
    <col min="268" max="268" width="10.140625" style="361" bestFit="1" customWidth="1"/>
    <col min="269" max="515" width="9.140625" style="361"/>
    <col min="516" max="516" width="31.42578125" style="361" customWidth="1"/>
    <col min="517" max="517" width="13.5703125" style="361" customWidth="1"/>
    <col min="518" max="518" width="13.7109375" style="361" customWidth="1"/>
    <col min="519" max="520" width="15.140625" style="361" customWidth="1"/>
    <col min="521" max="521" width="13.7109375" style="361" customWidth="1"/>
    <col min="522" max="522" width="13" style="361" customWidth="1"/>
    <col min="523" max="523" width="16.85546875" style="361" customWidth="1"/>
    <col min="524" max="524" width="10.140625" style="361" bestFit="1" customWidth="1"/>
    <col min="525" max="771" width="9.140625" style="361"/>
    <col min="772" max="772" width="31.42578125" style="361" customWidth="1"/>
    <col min="773" max="773" width="13.5703125" style="361" customWidth="1"/>
    <col min="774" max="774" width="13.7109375" style="361" customWidth="1"/>
    <col min="775" max="776" width="15.140625" style="361" customWidth="1"/>
    <col min="777" max="777" width="13.7109375" style="361" customWidth="1"/>
    <col min="778" max="778" width="13" style="361" customWidth="1"/>
    <col min="779" max="779" width="16.85546875" style="361" customWidth="1"/>
    <col min="780" max="780" width="10.140625" style="361" bestFit="1" customWidth="1"/>
    <col min="781" max="1027" width="9.140625" style="361"/>
    <col min="1028" max="1028" width="31.42578125" style="361" customWidth="1"/>
    <col min="1029" max="1029" width="13.5703125" style="361" customWidth="1"/>
    <col min="1030" max="1030" width="13.7109375" style="361" customWidth="1"/>
    <col min="1031" max="1032" width="15.140625" style="361" customWidth="1"/>
    <col min="1033" max="1033" width="13.7109375" style="361" customWidth="1"/>
    <col min="1034" max="1034" width="13" style="361" customWidth="1"/>
    <col min="1035" max="1035" width="16.85546875" style="361" customWidth="1"/>
    <col min="1036" max="1036" width="10.140625" style="361" bestFit="1" customWidth="1"/>
    <col min="1037" max="1283" width="9.140625" style="361"/>
    <col min="1284" max="1284" width="31.42578125" style="361" customWidth="1"/>
    <col min="1285" max="1285" width="13.5703125" style="361" customWidth="1"/>
    <col min="1286" max="1286" width="13.7109375" style="361" customWidth="1"/>
    <col min="1287" max="1288" width="15.140625" style="361" customWidth="1"/>
    <col min="1289" max="1289" width="13.7109375" style="361" customWidth="1"/>
    <col min="1290" max="1290" width="13" style="361" customWidth="1"/>
    <col min="1291" max="1291" width="16.85546875" style="361" customWidth="1"/>
    <col min="1292" max="1292" width="10.140625" style="361" bestFit="1" customWidth="1"/>
    <col min="1293" max="1539" width="9.140625" style="361"/>
    <col min="1540" max="1540" width="31.42578125" style="361" customWidth="1"/>
    <col min="1541" max="1541" width="13.5703125" style="361" customWidth="1"/>
    <col min="1542" max="1542" width="13.7109375" style="361" customWidth="1"/>
    <col min="1543" max="1544" width="15.140625" style="361" customWidth="1"/>
    <col min="1545" max="1545" width="13.7109375" style="361" customWidth="1"/>
    <col min="1546" max="1546" width="13" style="361" customWidth="1"/>
    <col min="1547" max="1547" width="16.85546875" style="361" customWidth="1"/>
    <col min="1548" max="1548" width="10.140625" style="361" bestFit="1" customWidth="1"/>
    <col min="1549" max="1795" width="9.140625" style="361"/>
    <col min="1796" max="1796" width="31.42578125" style="361" customWidth="1"/>
    <col min="1797" max="1797" width="13.5703125" style="361" customWidth="1"/>
    <col min="1798" max="1798" width="13.7109375" style="361" customWidth="1"/>
    <col min="1799" max="1800" width="15.140625" style="361" customWidth="1"/>
    <col min="1801" max="1801" width="13.7109375" style="361" customWidth="1"/>
    <col min="1802" max="1802" width="13" style="361" customWidth="1"/>
    <col min="1803" max="1803" width="16.85546875" style="361" customWidth="1"/>
    <col min="1804" max="1804" width="10.140625" style="361" bestFit="1" customWidth="1"/>
    <col min="1805" max="2051" width="9.140625" style="361"/>
    <col min="2052" max="2052" width="31.42578125" style="361" customWidth="1"/>
    <col min="2053" max="2053" width="13.5703125" style="361" customWidth="1"/>
    <col min="2054" max="2054" width="13.7109375" style="361" customWidth="1"/>
    <col min="2055" max="2056" width="15.140625" style="361" customWidth="1"/>
    <col min="2057" max="2057" width="13.7109375" style="361" customWidth="1"/>
    <col min="2058" max="2058" width="13" style="361" customWidth="1"/>
    <col min="2059" max="2059" width="16.85546875" style="361" customWidth="1"/>
    <col min="2060" max="2060" width="10.140625" style="361" bestFit="1" customWidth="1"/>
    <col min="2061" max="2307" width="9.140625" style="361"/>
    <col min="2308" max="2308" width="31.42578125" style="361" customWidth="1"/>
    <col min="2309" max="2309" width="13.5703125" style="361" customWidth="1"/>
    <col min="2310" max="2310" width="13.7109375" style="361" customWidth="1"/>
    <col min="2311" max="2312" width="15.140625" style="361" customWidth="1"/>
    <col min="2313" max="2313" width="13.7109375" style="361" customWidth="1"/>
    <col min="2314" max="2314" width="13" style="361" customWidth="1"/>
    <col min="2315" max="2315" width="16.85546875" style="361" customWidth="1"/>
    <col min="2316" max="2316" width="10.140625" style="361" bestFit="1" customWidth="1"/>
    <col min="2317" max="2563" width="9.140625" style="361"/>
    <col min="2564" max="2564" width="31.42578125" style="361" customWidth="1"/>
    <col min="2565" max="2565" width="13.5703125" style="361" customWidth="1"/>
    <col min="2566" max="2566" width="13.7109375" style="361" customWidth="1"/>
    <col min="2567" max="2568" width="15.140625" style="361" customWidth="1"/>
    <col min="2569" max="2569" width="13.7109375" style="361" customWidth="1"/>
    <col min="2570" max="2570" width="13" style="361" customWidth="1"/>
    <col min="2571" max="2571" width="16.85546875" style="361" customWidth="1"/>
    <col min="2572" max="2572" width="10.140625" style="361" bestFit="1" customWidth="1"/>
    <col min="2573" max="2819" width="9.140625" style="361"/>
    <col min="2820" max="2820" width="31.42578125" style="361" customWidth="1"/>
    <col min="2821" max="2821" width="13.5703125" style="361" customWidth="1"/>
    <col min="2822" max="2822" width="13.7109375" style="361" customWidth="1"/>
    <col min="2823" max="2824" width="15.140625" style="361" customWidth="1"/>
    <col min="2825" max="2825" width="13.7109375" style="361" customWidth="1"/>
    <col min="2826" max="2826" width="13" style="361" customWidth="1"/>
    <col min="2827" max="2827" width="16.85546875" style="361" customWidth="1"/>
    <col min="2828" max="2828" width="10.140625" style="361" bestFit="1" customWidth="1"/>
    <col min="2829" max="3075" width="9.140625" style="361"/>
    <col min="3076" max="3076" width="31.42578125" style="361" customWidth="1"/>
    <col min="3077" max="3077" width="13.5703125" style="361" customWidth="1"/>
    <col min="3078" max="3078" width="13.7109375" style="361" customWidth="1"/>
    <col min="3079" max="3080" width="15.140625" style="361" customWidth="1"/>
    <col min="3081" max="3081" width="13.7109375" style="361" customWidth="1"/>
    <col min="3082" max="3082" width="13" style="361" customWidth="1"/>
    <col min="3083" max="3083" width="16.85546875" style="361" customWidth="1"/>
    <col min="3084" max="3084" width="10.140625" style="361" bestFit="1" customWidth="1"/>
    <col min="3085" max="3331" width="9.140625" style="361"/>
    <col min="3332" max="3332" width="31.42578125" style="361" customWidth="1"/>
    <col min="3333" max="3333" width="13.5703125" style="361" customWidth="1"/>
    <col min="3334" max="3334" width="13.7109375" style="361" customWidth="1"/>
    <col min="3335" max="3336" width="15.140625" style="361" customWidth="1"/>
    <col min="3337" max="3337" width="13.7109375" style="361" customWidth="1"/>
    <col min="3338" max="3338" width="13" style="361" customWidth="1"/>
    <col min="3339" max="3339" width="16.85546875" style="361" customWidth="1"/>
    <col min="3340" max="3340" width="10.140625" style="361" bestFit="1" customWidth="1"/>
    <col min="3341" max="3587" width="9.140625" style="361"/>
    <col min="3588" max="3588" width="31.42578125" style="361" customWidth="1"/>
    <col min="3589" max="3589" width="13.5703125" style="361" customWidth="1"/>
    <col min="3590" max="3590" width="13.7109375" style="361" customWidth="1"/>
    <col min="3591" max="3592" width="15.140625" style="361" customWidth="1"/>
    <col min="3593" max="3593" width="13.7109375" style="361" customWidth="1"/>
    <col min="3594" max="3594" width="13" style="361" customWidth="1"/>
    <col min="3595" max="3595" width="16.85546875" style="361" customWidth="1"/>
    <col min="3596" max="3596" width="10.140625" style="361" bestFit="1" customWidth="1"/>
    <col min="3597" max="3843" width="9.140625" style="361"/>
    <col min="3844" max="3844" width="31.42578125" style="361" customWidth="1"/>
    <col min="3845" max="3845" width="13.5703125" style="361" customWidth="1"/>
    <col min="3846" max="3846" width="13.7109375" style="361" customWidth="1"/>
    <col min="3847" max="3848" width="15.140625" style="361" customWidth="1"/>
    <col min="3849" max="3849" width="13.7109375" style="361" customWidth="1"/>
    <col min="3850" max="3850" width="13" style="361" customWidth="1"/>
    <col min="3851" max="3851" width="16.85546875" style="361" customWidth="1"/>
    <col min="3852" max="3852" width="10.140625" style="361" bestFit="1" customWidth="1"/>
    <col min="3853" max="4099" width="9.140625" style="361"/>
    <col min="4100" max="4100" width="31.42578125" style="361" customWidth="1"/>
    <col min="4101" max="4101" width="13.5703125" style="361" customWidth="1"/>
    <col min="4102" max="4102" width="13.7109375" style="361" customWidth="1"/>
    <col min="4103" max="4104" width="15.140625" style="361" customWidth="1"/>
    <col min="4105" max="4105" width="13.7109375" style="361" customWidth="1"/>
    <col min="4106" max="4106" width="13" style="361" customWidth="1"/>
    <col min="4107" max="4107" width="16.85546875" style="361" customWidth="1"/>
    <col min="4108" max="4108" width="10.140625" style="361" bestFit="1" customWidth="1"/>
    <col min="4109" max="4355" width="9.140625" style="361"/>
    <col min="4356" max="4356" width="31.42578125" style="361" customWidth="1"/>
    <col min="4357" max="4357" width="13.5703125" style="361" customWidth="1"/>
    <col min="4358" max="4358" width="13.7109375" style="361" customWidth="1"/>
    <col min="4359" max="4360" width="15.140625" style="361" customWidth="1"/>
    <col min="4361" max="4361" width="13.7109375" style="361" customWidth="1"/>
    <col min="4362" max="4362" width="13" style="361" customWidth="1"/>
    <col min="4363" max="4363" width="16.85546875" style="361" customWidth="1"/>
    <col min="4364" max="4364" width="10.140625" style="361" bestFit="1" customWidth="1"/>
    <col min="4365" max="4611" width="9.140625" style="361"/>
    <col min="4612" max="4612" width="31.42578125" style="361" customWidth="1"/>
    <col min="4613" max="4613" width="13.5703125" style="361" customWidth="1"/>
    <col min="4614" max="4614" width="13.7109375" style="361" customWidth="1"/>
    <col min="4615" max="4616" width="15.140625" style="361" customWidth="1"/>
    <col min="4617" max="4617" width="13.7109375" style="361" customWidth="1"/>
    <col min="4618" max="4618" width="13" style="361" customWidth="1"/>
    <col min="4619" max="4619" width="16.85546875" style="361" customWidth="1"/>
    <col min="4620" max="4620" width="10.140625" style="361" bestFit="1" customWidth="1"/>
    <col min="4621" max="4867" width="9.140625" style="361"/>
    <col min="4868" max="4868" width="31.42578125" style="361" customWidth="1"/>
    <col min="4869" max="4869" width="13.5703125" style="361" customWidth="1"/>
    <col min="4870" max="4870" width="13.7109375" style="361" customWidth="1"/>
    <col min="4871" max="4872" width="15.140625" style="361" customWidth="1"/>
    <col min="4873" max="4873" width="13.7109375" style="361" customWidth="1"/>
    <col min="4874" max="4874" width="13" style="361" customWidth="1"/>
    <col min="4875" max="4875" width="16.85546875" style="361" customWidth="1"/>
    <col min="4876" max="4876" width="10.140625" style="361" bestFit="1" customWidth="1"/>
    <col min="4877" max="5123" width="9.140625" style="361"/>
    <col min="5124" max="5124" width="31.42578125" style="361" customWidth="1"/>
    <col min="5125" max="5125" width="13.5703125" style="361" customWidth="1"/>
    <col min="5126" max="5126" width="13.7109375" style="361" customWidth="1"/>
    <col min="5127" max="5128" width="15.140625" style="361" customWidth="1"/>
    <col min="5129" max="5129" width="13.7109375" style="361" customWidth="1"/>
    <col min="5130" max="5130" width="13" style="361" customWidth="1"/>
    <col min="5131" max="5131" width="16.85546875" style="361" customWidth="1"/>
    <col min="5132" max="5132" width="10.140625" style="361" bestFit="1" customWidth="1"/>
    <col min="5133" max="5379" width="9.140625" style="361"/>
    <col min="5380" max="5380" width="31.42578125" style="361" customWidth="1"/>
    <col min="5381" max="5381" width="13.5703125" style="361" customWidth="1"/>
    <col min="5382" max="5382" width="13.7109375" style="361" customWidth="1"/>
    <col min="5383" max="5384" width="15.140625" style="361" customWidth="1"/>
    <col min="5385" max="5385" width="13.7109375" style="361" customWidth="1"/>
    <col min="5386" max="5386" width="13" style="361" customWidth="1"/>
    <col min="5387" max="5387" width="16.85546875" style="361" customWidth="1"/>
    <col min="5388" max="5388" width="10.140625" style="361" bestFit="1" customWidth="1"/>
    <col min="5389" max="5635" width="9.140625" style="361"/>
    <col min="5636" max="5636" width="31.42578125" style="361" customWidth="1"/>
    <col min="5637" max="5637" width="13.5703125" style="361" customWidth="1"/>
    <col min="5638" max="5638" width="13.7109375" style="361" customWidth="1"/>
    <col min="5639" max="5640" width="15.140625" style="361" customWidth="1"/>
    <col min="5641" max="5641" width="13.7109375" style="361" customWidth="1"/>
    <col min="5642" max="5642" width="13" style="361" customWidth="1"/>
    <col min="5643" max="5643" width="16.85546875" style="361" customWidth="1"/>
    <col min="5644" max="5644" width="10.140625" style="361" bestFit="1" customWidth="1"/>
    <col min="5645" max="5891" width="9.140625" style="361"/>
    <col min="5892" max="5892" width="31.42578125" style="361" customWidth="1"/>
    <col min="5893" max="5893" width="13.5703125" style="361" customWidth="1"/>
    <col min="5894" max="5894" width="13.7109375" style="361" customWidth="1"/>
    <col min="5895" max="5896" width="15.140625" style="361" customWidth="1"/>
    <col min="5897" max="5897" width="13.7109375" style="361" customWidth="1"/>
    <col min="5898" max="5898" width="13" style="361" customWidth="1"/>
    <col min="5899" max="5899" width="16.85546875" style="361" customWidth="1"/>
    <col min="5900" max="5900" width="10.140625" style="361" bestFit="1" customWidth="1"/>
    <col min="5901" max="6147" width="9.140625" style="361"/>
    <col min="6148" max="6148" width="31.42578125" style="361" customWidth="1"/>
    <col min="6149" max="6149" width="13.5703125" style="361" customWidth="1"/>
    <col min="6150" max="6150" width="13.7109375" style="361" customWidth="1"/>
    <col min="6151" max="6152" width="15.140625" style="361" customWidth="1"/>
    <col min="6153" max="6153" width="13.7109375" style="361" customWidth="1"/>
    <col min="6154" max="6154" width="13" style="361" customWidth="1"/>
    <col min="6155" max="6155" width="16.85546875" style="361" customWidth="1"/>
    <col min="6156" max="6156" width="10.140625" style="361" bestFit="1" customWidth="1"/>
    <col min="6157" max="6403" width="9.140625" style="361"/>
    <col min="6404" max="6404" width="31.42578125" style="361" customWidth="1"/>
    <col min="6405" max="6405" width="13.5703125" style="361" customWidth="1"/>
    <col min="6406" max="6406" width="13.7109375" style="361" customWidth="1"/>
    <col min="6407" max="6408" width="15.140625" style="361" customWidth="1"/>
    <col min="6409" max="6409" width="13.7109375" style="361" customWidth="1"/>
    <col min="6410" max="6410" width="13" style="361" customWidth="1"/>
    <col min="6411" max="6411" width="16.85546875" style="361" customWidth="1"/>
    <col min="6412" max="6412" width="10.140625" style="361" bestFit="1" customWidth="1"/>
    <col min="6413" max="6659" width="9.140625" style="361"/>
    <col min="6660" max="6660" width="31.42578125" style="361" customWidth="1"/>
    <col min="6661" max="6661" width="13.5703125" style="361" customWidth="1"/>
    <col min="6662" max="6662" width="13.7109375" style="361" customWidth="1"/>
    <col min="6663" max="6664" width="15.140625" style="361" customWidth="1"/>
    <col min="6665" max="6665" width="13.7109375" style="361" customWidth="1"/>
    <col min="6666" max="6666" width="13" style="361" customWidth="1"/>
    <col min="6667" max="6667" width="16.85546875" style="361" customWidth="1"/>
    <col min="6668" max="6668" width="10.140625" style="361" bestFit="1" customWidth="1"/>
    <col min="6669" max="6915" width="9.140625" style="361"/>
    <col min="6916" max="6916" width="31.42578125" style="361" customWidth="1"/>
    <col min="6917" max="6917" width="13.5703125" style="361" customWidth="1"/>
    <col min="6918" max="6918" width="13.7109375" style="361" customWidth="1"/>
    <col min="6919" max="6920" width="15.140625" style="361" customWidth="1"/>
    <col min="6921" max="6921" width="13.7109375" style="361" customWidth="1"/>
    <col min="6922" max="6922" width="13" style="361" customWidth="1"/>
    <col min="6923" max="6923" width="16.85546875" style="361" customWidth="1"/>
    <col min="6924" max="6924" width="10.140625" style="361" bestFit="1" customWidth="1"/>
    <col min="6925" max="7171" width="9.140625" style="361"/>
    <col min="7172" max="7172" width="31.42578125" style="361" customWidth="1"/>
    <col min="7173" max="7173" width="13.5703125" style="361" customWidth="1"/>
    <col min="7174" max="7174" width="13.7109375" style="361" customWidth="1"/>
    <col min="7175" max="7176" width="15.140625" style="361" customWidth="1"/>
    <col min="7177" max="7177" width="13.7109375" style="361" customWidth="1"/>
    <col min="7178" max="7178" width="13" style="361" customWidth="1"/>
    <col min="7179" max="7179" width="16.85546875" style="361" customWidth="1"/>
    <col min="7180" max="7180" width="10.140625" style="361" bestFit="1" customWidth="1"/>
    <col min="7181" max="7427" width="9.140625" style="361"/>
    <col min="7428" max="7428" width="31.42578125" style="361" customWidth="1"/>
    <col min="7429" max="7429" width="13.5703125" style="361" customWidth="1"/>
    <col min="7430" max="7430" width="13.7109375" style="361" customWidth="1"/>
    <col min="7431" max="7432" width="15.140625" style="361" customWidth="1"/>
    <col min="7433" max="7433" width="13.7109375" style="361" customWidth="1"/>
    <col min="7434" max="7434" width="13" style="361" customWidth="1"/>
    <col min="7435" max="7435" width="16.85546875" style="361" customWidth="1"/>
    <col min="7436" max="7436" width="10.140625" style="361" bestFit="1" customWidth="1"/>
    <col min="7437" max="7683" width="9.140625" style="361"/>
    <col min="7684" max="7684" width="31.42578125" style="361" customWidth="1"/>
    <col min="7685" max="7685" width="13.5703125" style="361" customWidth="1"/>
    <col min="7686" max="7686" width="13.7109375" style="361" customWidth="1"/>
    <col min="7687" max="7688" width="15.140625" style="361" customWidth="1"/>
    <col min="7689" max="7689" width="13.7109375" style="361" customWidth="1"/>
    <col min="7690" max="7690" width="13" style="361" customWidth="1"/>
    <col min="7691" max="7691" width="16.85546875" style="361" customWidth="1"/>
    <col min="7692" max="7692" width="10.140625" style="361" bestFit="1" customWidth="1"/>
    <col min="7693" max="7939" width="9.140625" style="361"/>
    <col min="7940" max="7940" width="31.42578125" style="361" customWidth="1"/>
    <col min="7941" max="7941" width="13.5703125" style="361" customWidth="1"/>
    <col min="7942" max="7942" width="13.7109375" style="361" customWidth="1"/>
    <col min="7943" max="7944" width="15.140625" style="361" customWidth="1"/>
    <col min="7945" max="7945" width="13.7109375" style="361" customWidth="1"/>
    <col min="7946" max="7946" width="13" style="361" customWidth="1"/>
    <col min="7947" max="7947" width="16.85546875" style="361" customWidth="1"/>
    <col min="7948" max="7948" width="10.140625" style="361" bestFit="1" customWidth="1"/>
    <col min="7949" max="8195" width="9.140625" style="361"/>
    <col min="8196" max="8196" width="31.42578125" style="361" customWidth="1"/>
    <col min="8197" max="8197" width="13.5703125" style="361" customWidth="1"/>
    <col min="8198" max="8198" width="13.7109375" style="361" customWidth="1"/>
    <col min="8199" max="8200" width="15.140625" style="361" customWidth="1"/>
    <col min="8201" max="8201" width="13.7109375" style="361" customWidth="1"/>
    <col min="8202" max="8202" width="13" style="361" customWidth="1"/>
    <col min="8203" max="8203" width="16.85546875" style="361" customWidth="1"/>
    <col min="8204" max="8204" width="10.140625" style="361" bestFit="1" customWidth="1"/>
    <col min="8205" max="8451" width="9.140625" style="361"/>
    <col min="8452" max="8452" width="31.42578125" style="361" customWidth="1"/>
    <col min="8453" max="8453" width="13.5703125" style="361" customWidth="1"/>
    <col min="8454" max="8454" width="13.7109375" style="361" customWidth="1"/>
    <col min="8455" max="8456" width="15.140625" style="361" customWidth="1"/>
    <col min="8457" max="8457" width="13.7109375" style="361" customWidth="1"/>
    <col min="8458" max="8458" width="13" style="361" customWidth="1"/>
    <col min="8459" max="8459" width="16.85546875" style="361" customWidth="1"/>
    <col min="8460" max="8460" width="10.140625" style="361" bestFit="1" customWidth="1"/>
    <col min="8461" max="8707" width="9.140625" style="361"/>
    <col min="8708" max="8708" width="31.42578125" style="361" customWidth="1"/>
    <col min="8709" max="8709" width="13.5703125" style="361" customWidth="1"/>
    <col min="8710" max="8710" width="13.7109375" style="361" customWidth="1"/>
    <col min="8711" max="8712" width="15.140625" style="361" customWidth="1"/>
    <col min="8713" max="8713" width="13.7109375" style="361" customWidth="1"/>
    <col min="8714" max="8714" width="13" style="361" customWidth="1"/>
    <col min="8715" max="8715" width="16.85546875" style="361" customWidth="1"/>
    <col min="8716" max="8716" width="10.140625" style="361" bestFit="1" customWidth="1"/>
    <col min="8717" max="8963" width="9.140625" style="361"/>
    <col min="8964" max="8964" width="31.42578125" style="361" customWidth="1"/>
    <col min="8965" max="8965" width="13.5703125" style="361" customWidth="1"/>
    <col min="8966" max="8966" width="13.7109375" style="361" customWidth="1"/>
    <col min="8967" max="8968" width="15.140625" style="361" customWidth="1"/>
    <col min="8969" max="8969" width="13.7109375" style="361" customWidth="1"/>
    <col min="8970" max="8970" width="13" style="361" customWidth="1"/>
    <col min="8971" max="8971" width="16.85546875" style="361" customWidth="1"/>
    <col min="8972" max="8972" width="10.140625" style="361" bestFit="1" customWidth="1"/>
    <col min="8973" max="9219" width="9.140625" style="361"/>
    <col min="9220" max="9220" width="31.42578125" style="361" customWidth="1"/>
    <col min="9221" max="9221" width="13.5703125" style="361" customWidth="1"/>
    <col min="9222" max="9222" width="13.7109375" style="361" customWidth="1"/>
    <col min="9223" max="9224" width="15.140625" style="361" customWidth="1"/>
    <col min="9225" max="9225" width="13.7109375" style="361" customWidth="1"/>
    <col min="9226" max="9226" width="13" style="361" customWidth="1"/>
    <col min="9227" max="9227" width="16.85546875" style="361" customWidth="1"/>
    <col min="9228" max="9228" width="10.140625" style="361" bestFit="1" customWidth="1"/>
    <col min="9229" max="9475" width="9.140625" style="361"/>
    <col min="9476" max="9476" width="31.42578125" style="361" customWidth="1"/>
    <col min="9477" max="9477" width="13.5703125" style="361" customWidth="1"/>
    <col min="9478" max="9478" width="13.7109375" style="361" customWidth="1"/>
    <col min="9479" max="9480" width="15.140625" style="361" customWidth="1"/>
    <col min="9481" max="9481" width="13.7109375" style="361" customWidth="1"/>
    <col min="9482" max="9482" width="13" style="361" customWidth="1"/>
    <col min="9483" max="9483" width="16.85546875" style="361" customWidth="1"/>
    <col min="9484" max="9484" width="10.140625" style="361" bestFit="1" customWidth="1"/>
    <col min="9485" max="9731" width="9.140625" style="361"/>
    <col min="9732" max="9732" width="31.42578125" style="361" customWidth="1"/>
    <col min="9733" max="9733" width="13.5703125" style="361" customWidth="1"/>
    <col min="9734" max="9734" width="13.7109375" style="361" customWidth="1"/>
    <col min="9735" max="9736" width="15.140625" style="361" customWidth="1"/>
    <col min="9737" max="9737" width="13.7109375" style="361" customWidth="1"/>
    <col min="9738" max="9738" width="13" style="361" customWidth="1"/>
    <col min="9739" max="9739" width="16.85546875" style="361" customWidth="1"/>
    <col min="9740" max="9740" width="10.140625" style="361" bestFit="1" customWidth="1"/>
    <col min="9741" max="9987" width="9.140625" style="361"/>
    <col min="9988" max="9988" width="31.42578125" style="361" customWidth="1"/>
    <col min="9989" max="9989" width="13.5703125" style="361" customWidth="1"/>
    <col min="9990" max="9990" width="13.7109375" style="361" customWidth="1"/>
    <col min="9991" max="9992" width="15.140625" style="361" customWidth="1"/>
    <col min="9993" max="9993" width="13.7109375" style="361" customWidth="1"/>
    <col min="9994" max="9994" width="13" style="361" customWidth="1"/>
    <col min="9995" max="9995" width="16.85546875" style="361" customWidth="1"/>
    <col min="9996" max="9996" width="10.140625" style="361" bestFit="1" customWidth="1"/>
    <col min="9997" max="10243" width="9.140625" style="361"/>
    <col min="10244" max="10244" width="31.42578125" style="361" customWidth="1"/>
    <col min="10245" max="10245" width="13.5703125" style="361" customWidth="1"/>
    <col min="10246" max="10246" width="13.7109375" style="361" customWidth="1"/>
    <col min="10247" max="10248" width="15.140625" style="361" customWidth="1"/>
    <col min="10249" max="10249" width="13.7109375" style="361" customWidth="1"/>
    <col min="10250" max="10250" width="13" style="361" customWidth="1"/>
    <col min="10251" max="10251" width="16.85546875" style="361" customWidth="1"/>
    <col min="10252" max="10252" width="10.140625" style="361" bestFit="1" customWidth="1"/>
    <col min="10253" max="10499" width="9.140625" style="361"/>
    <col min="10500" max="10500" width="31.42578125" style="361" customWidth="1"/>
    <col min="10501" max="10501" width="13.5703125" style="361" customWidth="1"/>
    <col min="10502" max="10502" width="13.7109375" style="361" customWidth="1"/>
    <col min="10503" max="10504" width="15.140625" style="361" customWidth="1"/>
    <col min="10505" max="10505" width="13.7109375" style="361" customWidth="1"/>
    <col min="10506" max="10506" width="13" style="361" customWidth="1"/>
    <col min="10507" max="10507" width="16.85546875" style="361" customWidth="1"/>
    <col min="10508" max="10508" width="10.140625" style="361" bestFit="1" customWidth="1"/>
    <col min="10509" max="10755" width="9.140625" style="361"/>
    <col min="10756" max="10756" width="31.42578125" style="361" customWidth="1"/>
    <col min="10757" max="10757" width="13.5703125" style="361" customWidth="1"/>
    <col min="10758" max="10758" width="13.7109375" style="361" customWidth="1"/>
    <col min="10759" max="10760" width="15.140625" style="361" customWidth="1"/>
    <col min="10761" max="10761" width="13.7109375" style="361" customWidth="1"/>
    <col min="10762" max="10762" width="13" style="361" customWidth="1"/>
    <col min="10763" max="10763" width="16.85546875" style="361" customWidth="1"/>
    <col min="10764" max="10764" width="10.140625" style="361" bestFit="1" customWidth="1"/>
    <col min="10765" max="11011" width="9.140625" style="361"/>
    <col min="11012" max="11012" width="31.42578125" style="361" customWidth="1"/>
    <col min="11013" max="11013" width="13.5703125" style="361" customWidth="1"/>
    <col min="11014" max="11014" width="13.7109375" style="361" customWidth="1"/>
    <col min="11015" max="11016" width="15.140625" style="361" customWidth="1"/>
    <col min="11017" max="11017" width="13.7109375" style="361" customWidth="1"/>
    <col min="11018" max="11018" width="13" style="361" customWidth="1"/>
    <col min="11019" max="11019" width="16.85546875" style="361" customWidth="1"/>
    <col min="11020" max="11020" width="10.140625" style="361" bestFit="1" customWidth="1"/>
    <col min="11021" max="11267" width="9.140625" style="361"/>
    <col min="11268" max="11268" width="31.42578125" style="361" customWidth="1"/>
    <col min="11269" max="11269" width="13.5703125" style="361" customWidth="1"/>
    <col min="11270" max="11270" width="13.7109375" style="361" customWidth="1"/>
    <col min="11271" max="11272" width="15.140625" style="361" customWidth="1"/>
    <col min="11273" max="11273" width="13.7109375" style="361" customWidth="1"/>
    <col min="11274" max="11274" width="13" style="361" customWidth="1"/>
    <col min="11275" max="11275" width="16.85546875" style="361" customWidth="1"/>
    <col min="11276" max="11276" width="10.140625" style="361" bestFit="1" customWidth="1"/>
    <col min="11277" max="11523" width="9.140625" style="361"/>
    <col min="11524" max="11524" width="31.42578125" style="361" customWidth="1"/>
    <col min="11525" max="11525" width="13.5703125" style="361" customWidth="1"/>
    <col min="11526" max="11526" width="13.7109375" style="361" customWidth="1"/>
    <col min="11527" max="11528" width="15.140625" style="361" customWidth="1"/>
    <col min="11529" max="11529" width="13.7109375" style="361" customWidth="1"/>
    <col min="11530" max="11530" width="13" style="361" customWidth="1"/>
    <col min="11531" max="11531" width="16.85546875" style="361" customWidth="1"/>
    <col min="11532" max="11532" width="10.140625" style="361" bestFit="1" customWidth="1"/>
    <col min="11533" max="11779" width="9.140625" style="361"/>
    <col min="11780" max="11780" width="31.42578125" style="361" customWidth="1"/>
    <col min="11781" max="11781" width="13.5703125" style="361" customWidth="1"/>
    <col min="11782" max="11782" width="13.7109375" style="361" customWidth="1"/>
    <col min="11783" max="11784" width="15.140625" style="361" customWidth="1"/>
    <col min="11785" max="11785" width="13.7109375" style="361" customWidth="1"/>
    <col min="11786" max="11786" width="13" style="361" customWidth="1"/>
    <col min="11787" max="11787" width="16.85546875" style="361" customWidth="1"/>
    <col min="11788" max="11788" width="10.140625" style="361" bestFit="1" customWidth="1"/>
    <col min="11789" max="12035" width="9.140625" style="361"/>
    <col min="12036" max="12036" width="31.42578125" style="361" customWidth="1"/>
    <col min="12037" max="12037" width="13.5703125" style="361" customWidth="1"/>
    <col min="12038" max="12038" width="13.7109375" style="361" customWidth="1"/>
    <col min="12039" max="12040" width="15.140625" style="361" customWidth="1"/>
    <col min="12041" max="12041" width="13.7109375" style="361" customWidth="1"/>
    <col min="12042" max="12042" width="13" style="361" customWidth="1"/>
    <col min="12043" max="12043" width="16.85546875" style="361" customWidth="1"/>
    <col min="12044" max="12044" width="10.140625" style="361" bestFit="1" customWidth="1"/>
    <col min="12045" max="12291" width="9.140625" style="361"/>
    <col min="12292" max="12292" width="31.42578125" style="361" customWidth="1"/>
    <col min="12293" max="12293" width="13.5703125" style="361" customWidth="1"/>
    <col min="12294" max="12294" width="13.7109375" style="361" customWidth="1"/>
    <col min="12295" max="12296" width="15.140625" style="361" customWidth="1"/>
    <col min="12297" max="12297" width="13.7109375" style="361" customWidth="1"/>
    <col min="12298" max="12298" width="13" style="361" customWidth="1"/>
    <col min="12299" max="12299" width="16.85546875" style="361" customWidth="1"/>
    <col min="12300" max="12300" width="10.140625" style="361" bestFit="1" customWidth="1"/>
    <col min="12301" max="12547" width="9.140625" style="361"/>
    <col min="12548" max="12548" width="31.42578125" style="361" customWidth="1"/>
    <col min="12549" max="12549" width="13.5703125" style="361" customWidth="1"/>
    <col min="12550" max="12550" width="13.7109375" style="361" customWidth="1"/>
    <col min="12551" max="12552" width="15.140625" style="361" customWidth="1"/>
    <col min="12553" max="12553" width="13.7109375" style="361" customWidth="1"/>
    <col min="12554" max="12554" width="13" style="361" customWidth="1"/>
    <col min="12555" max="12555" width="16.85546875" style="361" customWidth="1"/>
    <col min="12556" max="12556" width="10.140625" style="361" bestFit="1" customWidth="1"/>
    <col min="12557" max="12803" width="9.140625" style="361"/>
    <col min="12804" max="12804" width="31.42578125" style="361" customWidth="1"/>
    <col min="12805" max="12805" width="13.5703125" style="361" customWidth="1"/>
    <col min="12806" max="12806" width="13.7109375" style="361" customWidth="1"/>
    <col min="12807" max="12808" width="15.140625" style="361" customWidth="1"/>
    <col min="12809" max="12809" width="13.7109375" style="361" customWidth="1"/>
    <col min="12810" max="12810" width="13" style="361" customWidth="1"/>
    <col min="12811" max="12811" width="16.85546875" style="361" customWidth="1"/>
    <col min="12812" max="12812" width="10.140625" style="361" bestFit="1" customWidth="1"/>
    <col min="12813" max="13059" width="9.140625" style="361"/>
    <col min="13060" max="13060" width="31.42578125" style="361" customWidth="1"/>
    <col min="13061" max="13061" width="13.5703125" style="361" customWidth="1"/>
    <col min="13062" max="13062" width="13.7109375" style="361" customWidth="1"/>
    <col min="13063" max="13064" width="15.140625" style="361" customWidth="1"/>
    <col min="13065" max="13065" width="13.7109375" style="361" customWidth="1"/>
    <col min="13066" max="13066" width="13" style="361" customWidth="1"/>
    <col min="13067" max="13067" width="16.85546875" style="361" customWidth="1"/>
    <col min="13068" max="13068" width="10.140625" style="361" bestFit="1" customWidth="1"/>
    <col min="13069" max="13315" width="9.140625" style="361"/>
    <col min="13316" max="13316" width="31.42578125" style="361" customWidth="1"/>
    <col min="13317" max="13317" width="13.5703125" style="361" customWidth="1"/>
    <col min="13318" max="13318" width="13.7109375" style="361" customWidth="1"/>
    <col min="13319" max="13320" width="15.140625" style="361" customWidth="1"/>
    <col min="13321" max="13321" width="13.7109375" style="361" customWidth="1"/>
    <col min="13322" max="13322" width="13" style="361" customWidth="1"/>
    <col min="13323" max="13323" width="16.85546875" style="361" customWidth="1"/>
    <col min="13324" max="13324" width="10.140625" style="361" bestFit="1" customWidth="1"/>
    <col min="13325" max="13571" width="9.140625" style="361"/>
    <col min="13572" max="13572" width="31.42578125" style="361" customWidth="1"/>
    <col min="13573" max="13573" width="13.5703125" style="361" customWidth="1"/>
    <col min="13574" max="13574" width="13.7109375" style="361" customWidth="1"/>
    <col min="13575" max="13576" width="15.140625" style="361" customWidth="1"/>
    <col min="13577" max="13577" width="13.7109375" style="361" customWidth="1"/>
    <col min="13578" max="13578" width="13" style="361" customWidth="1"/>
    <col min="13579" max="13579" width="16.85546875" style="361" customWidth="1"/>
    <col min="13580" max="13580" width="10.140625" style="361" bestFit="1" customWidth="1"/>
    <col min="13581" max="13827" width="9.140625" style="361"/>
    <col min="13828" max="13828" width="31.42578125" style="361" customWidth="1"/>
    <col min="13829" max="13829" width="13.5703125" style="361" customWidth="1"/>
    <col min="13830" max="13830" width="13.7109375" style="361" customWidth="1"/>
    <col min="13831" max="13832" width="15.140625" style="361" customWidth="1"/>
    <col min="13833" max="13833" width="13.7109375" style="361" customWidth="1"/>
    <col min="13834" max="13834" width="13" style="361" customWidth="1"/>
    <col min="13835" max="13835" width="16.85546875" style="361" customWidth="1"/>
    <col min="13836" max="13836" width="10.140625" style="361" bestFit="1" customWidth="1"/>
    <col min="13837" max="14083" width="9.140625" style="361"/>
    <col min="14084" max="14084" width="31.42578125" style="361" customWidth="1"/>
    <col min="14085" max="14085" width="13.5703125" style="361" customWidth="1"/>
    <col min="14086" max="14086" width="13.7109375" style="361" customWidth="1"/>
    <col min="14087" max="14088" width="15.140625" style="361" customWidth="1"/>
    <col min="14089" max="14089" width="13.7109375" style="361" customWidth="1"/>
    <col min="14090" max="14090" width="13" style="361" customWidth="1"/>
    <col min="14091" max="14091" width="16.85546875" style="361" customWidth="1"/>
    <col min="14092" max="14092" width="10.140625" style="361" bestFit="1" customWidth="1"/>
    <col min="14093" max="14339" width="9.140625" style="361"/>
    <col min="14340" max="14340" width="31.42578125" style="361" customWidth="1"/>
    <col min="14341" max="14341" width="13.5703125" style="361" customWidth="1"/>
    <col min="14342" max="14342" width="13.7109375" style="361" customWidth="1"/>
    <col min="14343" max="14344" width="15.140625" style="361" customWidth="1"/>
    <col min="14345" max="14345" width="13.7109375" style="361" customWidth="1"/>
    <col min="14346" max="14346" width="13" style="361" customWidth="1"/>
    <col min="14347" max="14347" width="16.85546875" style="361" customWidth="1"/>
    <col min="14348" max="14348" width="10.140625" style="361" bestFit="1" customWidth="1"/>
    <col min="14349" max="14595" width="9.140625" style="361"/>
    <col min="14596" max="14596" width="31.42578125" style="361" customWidth="1"/>
    <col min="14597" max="14597" width="13.5703125" style="361" customWidth="1"/>
    <col min="14598" max="14598" width="13.7109375" style="361" customWidth="1"/>
    <col min="14599" max="14600" width="15.140625" style="361" customWidth="1"/>
    <col min="14601" max="14601" width="13.7109375" style="361" customWidth="1"/>
    <col min="14602" max="14602" width="13" style="361" customWidth="1"/>
    <col min="14603" max="14603" width="16.85546875" style="361" customWidth="1"/>
    <col min="14604" max="14604" width="10.140625" style="361" bestFit="1" customWidth="1"/>
    <col min="14605" max="14851" width="9.140625" style="361"/>
    <col min="14852" max="14852" width="31.42578125" style="361" customWidth="1"/>
    <col min="14853" max="14853" width="13.5703125" style="361" customWidth="1"/>
    <col min="14854" max="14854" width="13.7109375" style="361" customWidth="1"/>
    <col min="14855" max="14856" width="15.140625" style="361" customWidth="1"/>
    <col min="14857" max="14857" width="13.7109375" style="361" customWidth="1"/>
    <col min="14858" max="14858" width="13" style="361" customWidth="1"/>
    <col min="14859" max="14859" width="16.85546875" style="361" customWidth="1"/>
    <col min="14860" max="14860" width="10.140625" style="361" bestFit="1" customWidth="1"/>
    <col min="14861" max="15107" width="9.140625" style="361"/>
    <col min="15108" max="15108" width="31.42578125" style="361" customWidth="1"/>
    <col min="15109" max="15109" width="13.5703125" style="361" customWidth="1"/>
    <col min="15110" max="15110" width="13.7109375" style="361" customWidth="1"/>
    <col min="15111" max="15112" width="15.140625" style="361" customWidth="1"/>
    <col min="15113" max="15113" width="13.7109375" style="361" customWidth="1"/>
    <col min="15114" max="15114" width="13" style="361" customWidth="1"/>
    <col min="15115" max="15115" width="16.85546875" style="361" customWidth="1"/>
    <col min="15116" max="15116" width="10.140625" style="361" bestFit="1" customWidth="1"/>
    <col min="15117" max="15363" width="9.140625" style="361"/>
    <col min="15364" max="15364" width="31.42578125" style="361" customWidth="1"/>
    <col min="15365" max="15365" width="13.5703125" style="361" customWidth="1"/>
    <col min="15366" max="15366" width="13.7109375" style="361" customWidth="1"/>
    <col min="15367" max="15368" width="15.140625" style="361" customWidth="1"/>
    <col min="15369" max="15369" width="13.7109375" style="361" customWidth="1"/>
    <col min="15370" max="15370" width="13" style="361" customWidth="1"/>
    <col min="15371" max="15371" width="16.85546875" style="361" customWidth="1"/>
    <col min="15372" max="15372" width="10.140625" style="361" bestFit="1" customWidth="1"/>
    <col min="15373" max="15619" width="9.140625" style="361"/>
    <col min="15620" max="15620" width="31.42578125" style="361" customWidth="1"/>
    <col min="15621" max="15621" width="13.5703125" style="361" customWidth="1"/>
    <col min="15622" max="15622" width="13.7109375" style="361" customWidth="1"/>
    <col min="15623" max="15624" width="15.140625" style="361" customWidth="1"/>
    <col min="15625" max="15625" width="13.7109375" style="361" customWidth="1"/>
    <col min="15626" max="15626" width="13" style="361" customWidth="1"/>
    <col min="15627" max="15627" width="16.85546875" style="361" customWidth="1"/>
    <col min="15628" max="15628" width="10.140625" style="361" bestFit="1" customWidth="1"/>
    <col min="15629" max="15875" width="9.140625" style="361"/>
    <col min="15876" max="15876" width="31.42578125" style="361" customWidth="1"/>
    <col min="15877" max="15877" width="13.5703125" style="361" customWidth="1"/>
    <col min="15878" max="15878" width="13.7109375" style="361" customWidth="1"/>
    <col min="15879" max="15880" width="15.140625" style="361" customWidth="1"/>
    <col min="15881" max="15881" width="13.7109375" style="361" customWidth="1"/>
    <col min="15882" max="15882" width="13" style="361" customWidth="1"/>
    <col min="15883" max="15883" width="16.85546875" style="361" customWidth="1"/>
    <col min="15884" max="15884" width="10.140625" style="361" bestFit="1" customWidth="1"/>
    <col min="15885" max="16131" width="9.140625" style="361"/>
    <col min="16132" max="16132" width="31.42578125" style="361" customWidth="1"/>
    <col min="16133" max="16133" width="13.5703125" style="361" customWidth="1"/>
    <col min="16134" max="16134" width="13.7109375" style="361" customWidth="1"/>
    <col min="16135" max="16136" width="15.140625" style="361" customWidth="1"/>
    <col min="16137" max="16137" width="13.7109375" style="361" customWidth="1"/>
    <col min="16138" max="16138" width="13" style="361" customWidth="1"/>
    <col min="16139" max="16139" width="16.85546875" style="361" customWidth="1"/>
    <col min="16140" max="16140" width="10.140625" style="361" bestFit="1" customWidth="1"/>
    <col min="16141" max="16384" width="9.140625" style="361"/>
  </cols>
  <sheetData>
    <row r="1" spans="1:11" x14ac:dyDescent="0.2">
      <c r="A1" s="222"/>
      <c r="B1" s="223"/>
      <c r="C1" s="223"/>
      <c r="D1" s="223"/>
      <c r="E1" s="223"/>
      <c r="F1" s="223"/>
      <c r="G1" s="223"/>
      <c r="H1" s="223"/>
      <c r="I1" s="223"/>
      <c r="J1" s="223"/>
      <c r="K1" s="225"/>
    </row>
    <row r="2" spans="1:11" x14ac:dyDescent="0.2">
      <c r="A2" s="226"/>
      <c r="B2" s="137"/>
      <c r="C2" s="137"/>
      <c r="D2" s="137"/>
      <c r="E2" s="137"/>
      <c r="F2" s="137"/>
      <c r="G2" s="137"/>
      <c r="H2" s="137"/>
      <c r="I2" s="137"/>
      <c r="J2" s="137"/>
      <c r="K2" s="318"/>
    </row>
    <row r="3" spans="1:11" ht="12.75" customHeight="1" x14ac:dyDescent="0.2">
      <c r="A3" s="226"/>
      <c r="B3" s="137"/>
      <c r="C3" s="137"/>
      <c r="D3" s="137"/>
      <c r="E3" s="137"/>
      <c r="F3" s="137"/>
      <c r="G3" s="137"/>
      <c r="H3" s="137"/>
      <c r="I3" s="137"/>
      <c r="J3" s="137"/>
      <c r="K3" s="318"/>
    </row>
    <row r="4" spans="1:11" ht="12.75" customHeight="1" x14ac:dyDescent="0.2">
      <c r="A4" s="226"/>
      <c r="B4" s="137"/>
      <c r="C4" s="137"/>
      <c r="D4" s="137"/>
      <c r="E4" s="137"/>
      <c r="F4" s="137"/>
      <c r="G4" s="137"/>
      <c r="H4" s="137"/>
      <c r="I4" s="137"/>
      <c r="J4" s="137"/>
      <c r="K4" s="318"/>
    </row>
    <row r="5" spans="1:11" x14ac:dyDescent="0.2">
      <c r="A5" s="226"/>
      <c r="B5" s="137"/>
      <c r="C5" s="137"/>
      <c r="D5" s="137"/>
      <c r="E5" s="137"/>
      <c r="F5" s="137"/>
      <c r="G5" s="137"/>
      <c r="H5" s="137"/>
      <c r="I5" s="137"/>
      <c r="J5" s="137"/>
      <c r="K5" s="318"/>
    </row>
    <row r="6" spans="1:11" x14ac:dyDescent="0.2">
      <c r="A6" s="226"/>
      <c r="B6" s="137"/>
      <c r="C6" s="137"/>
      <c r="D6" s="137"/>
      <c r="E6" s="137"/>
      <c r="F6" s="137"/>
      <c r="G6" s="137"/>
      <c r="H6" s="137"/>
      <c r="I6" s="137"/>
      <c r="J6" s="137"/>
      <c r="K6" s="318"/>
    </row>
    <row r="7" spans="1:11" x14ac:dyDescent="0.2">
      <c r="A7" s="226"/>
      <c r="B7" s="137"/>
      <c r="C7" s="137"/>
      <c r="D7" s="137"/>
      <c r="E7" s="137"/>
      <c r="F7" s="137"/>
      <c r="G7" s="137"/>
      <c r="H7" s="137"/>
      <c r="I7" s="137"/>
      <c r="J7" s="137"/>
      <c r="K7" s="318"/>
    </row>
    <row r="8" spans="1:11" x14ac:dyDescent="0.2">
      <c r="A8" s="226"/>
      <c r="B8" s="137"/>
      <c r="C8" s="137"/>
      <c r="D8" s="137"/>
      <c r="E8" s="137"/>
      <c r="F8" s="137"/>
      <c r="G8" s="137"/>
      <c r="H8" s="137"/>
      <c r="I8" s="137"/>
      <c r="J8" s="137"/>
      <c r="K8" s="318"/>
    </row>
    <row r="9" spans="1:11" x14ac:dyDescent="0.2">
      <c r="A9" s="226"/>
      <c r="B9" s="137"/>
      <c r="C9" s="137"/>
      <c r="D9" s="137"/>
      <c r="E9" s="137"/>
      <c r="F9" s="137"/>
      <c r="G9" s="137"/>
      <c r="H9" s="137"/>
      <c r="I9" s="137"/>
      <c r="J9" s="137"/>
      <c r="K9" s="318"/>
    </row>
    <row r="10" spans="1:11" x14ac:dyDescent="0.2">
      <c r="A10" s="226"/>
      <c r="B10" s="137"/>
      <c r="C10" s="137"/>
      <c r="D10" s="137"/>
      <c r="E10" s="137"/>
      <c r="F10" s="137"/>
      <c r="G10" s="137"/>
      <c r="H10" s="137"/>
      <c r="I10" s="137"/>
      <c r="J10" s="137"/>
      <c r="K10" s="318"/>
    </row>
    <row r="11" spans="1:11" ht="15.75" x14ac:dyDescent="0.2">
      <c r="A11" s="400" t="s">
        <v>1168</v>
      </c>
      <c r="B11" s="401"/>
      <c r="C11" s="401"/>
      <c r="D11" s="401"/>
      <c r="E11" s="401"/>
      <c r="F11" s="401"/>
      <c r="G11" s="380"/>
      <c r="H11" s="323"/>
      <c r="I11" s="323"/>
      <c r="J11" s="401"/>
      <c r="K11" s="435"/>
    </row>
    <row r="12" spans="1:11" ht="15.75" x14ac:dyDescent="0.2">
      <c r="A12" s="400" t="s">
        <v>1167</v>
      </c>
      <c r="B12" s="401"/>
      <c r="C12" s="401"/>
      <c r="D12" s="401"/>
      <c r="E12" s="401"/>
      <c r="F12" s="401"/>
      <c r="G12" s="380"/>
      <c r="H12" s="323"/>
      <c r="I12" s="323"/>
      <c r="J12" s="324"/>
      <c r="K12" s="368"/>
    </row>
    <row r="13" spans="1:11" ht="15.75" x14ac:dyDescent="0.2">
      <c r="A13" s="322"/>
      <c r="B13" s="323"/>
      <c r="C13" s="323"/>
      <c r="D13" s="323"/>
      <c r="E13" s="323"/>
      <c r="F13" s="323"/>
      <c r="G13" s="380"/>
      <c r="H13" s="323"/>
      <c r="I13" s="323"/>
      <c r="J13" s="399"/>
      <c r="K13" s="436"/>
    </row>
    <row r="14" spans="1:11" ht="18.75" thickBot="1" x14ac:dyDescent="0.25">
      <c r="A14" s="405" t="s">
        <v>1175</v>
      </c>
      <c r="B14" s="406"/>
      <c r="C14" s="406"/>
      <c r="D14" s="406"/>
      <c r="E14" s="406"/>
      <c r="F14" s="406"/>
      <c r="G14" s="406"/>
      <c r="H14" s="406"/>
      <c r="I14" s="406"/>
      <c r="J14" s="406"/>
      <c r="K14" s="407"/>
    </row>
    <row r="15" spans="1:11" ht="13.5" thickTop="1" x14ac:dyDescent="0.2">
      <c r="A15" s="369"/>
      <c r="B15" s="370"/>
      <c r="C15" s="370"/>
      <c r="D15" s="370"/>
      <c r="E15" s="370"/>
      <c r="F15" s="370"/>
      <c r="G15" s="370"/>
      <c r="H15" s="370"/>
      <c r="I15" s="370"/>
      <c r="J15" s="370"/>
      <c r="K15" s="371"/>
    </row>
    <row r="16" spans="1:11" x14ac:dyDescent="0.2">
      <c r="A16" s="426" t="s">
        <v>0</v>
      </c>
      <c r="B16" s="428" t="s">
        <v>1170</v>
      </c>
      <c r="C16" s="432" t="s">
        <v>1171</v>
      </c>
      <c r="D16" s="433"/>
      <c r="E16" s="433"/>
      <c r="F16" s="433"/>
      <c r="G16" s="433"/>
      <c r="H16" s="433"/>
      <c r="I16" s="434"/>
      <c r="J16" s="428" t="s">
        <v>28</v>
      </c>
      <c r="K16" s="430" t="s">
        <v>1172</v>
      </c>
    </row>
    <row r="17" spans="1:14" x14ac:dyDescent="0.2">
      <c r="A17" s="427"/>
      <c r="B17" s="429"/>
      <c r="C17" s="362">
        <v>30</v>
      </c>
      <c r="D17" s="362">
        <v>60</v>
      </c>
      <c r="E17" s="362">
        <v>90</v>
      </c>
      <c r="F17" s="362">
        <v>120</v>
      </c>
      <c r="G17" s="362">
        <v>150</v>
      </c>
      <c r="H17" s="362">
        <v>180</v>
      </c>
      <c r="I17" s="381">
        <v>210</v>
      </c>
      <c r="J17" s="429"/>
      <c r="K17" s="431"/>
    </row>
    <row r="18" spans="1:14" ht="15" x14ac:dyDescent="0.2">
      <c r="A18" s="372" t="str">
        <f>'Planilha Orçamentária'!B16</f>
        <v>1.0</v>
      </c>
      <c r="B18" s="382" t="str">
        <f>'Planilha Orçamentária'!C16</f>
        <v>SERVIÇOS PRELIMINARES</v>
      </c>
      <c r="C18" s="386">
        <v>3169.17</v>
      </c>
      <c r="D18" s="365" t="s">
        <v>1176</v>
      </c>
      <c r="E18" s="365" t="s">
        <v>1176</v>
      </c>
      <c r="F18" s="365" t="s">
        <v>1176</v>
      </c>
      <c r="G18" s="365" t="s">
        <v>1176</v>
      </c>
      <c r="H18" s="365" t="s">
        <v>1176</v>
      </c>
      <c r="I18" s="365" t="s">
        <v>1176</v>
      </c>
      <c r="J18" s="365">
        <f>'Planilha Orçamentária'!I16</f>
        <v>3169.17</v>
      </c>
      <c r="K18" s="373">
        <f>J18/$J$34</f>
        <v>3.6085405987489982E-3</v>
      </c>
      <c r="L18" s="363"/>
      <c r="M18" s="363">
        <f>SUM(C18:I18)</f>
        <v>3169.17</v>
      </c>
      <c r="N18" s="363">
        <f>J18-M18</f>
        <v>0</v>
      </c>
    </row>
    <row r="19" spans="1:14" ht="15" x14ac:dyDescent="0.2">
      <c r="A19" s="372" t="str">
        <f>'Planilha Orçamentária'!B20</f>
        <v>2.0</v>
      </c>
      <c r="B19" s="382" t="str">
        <f>'Planilha Orçamentária'!C20</f>
        <v>DEMOLIÇÕES E RETIRADAS</v>
      </c>
      <c r="C19" s="386">
        <v>18114.84</v>
      </c>
      <c r="D19" s="365" t="s">
        <v>1176</v>
      </c>
      <c r="E19" s="365" t="s">
        <v>1176</v>
      </c>
      <c r="F19" s="365" t="s">
        <v>1176</v>
      </c>
      <c r="G19" s="365" t="s">
        <v>1176</v>
      </c>
      <c r="H19" s="365" t="s">
        <v>1176</v>
      </c>
      <c r="I19" s="365" t="s">
        <v>1176</v>
      </c>
      <c r="J19" s="365">
        <f>'Planilha Orçamentária'!I20</f>
        <v>18114.840000000004</v>
      </c>
      <c r="K19" s="373">
        <f t="shared" ref="K19:K32" si="0">J19/$J$34</f>
        <v>2.0626263526362522E-2</v>
      </c>
      <c r="M19" s="363">
        <f t="shared" ref="M19:M32" si="1">SUM(C19:I19)</f>
        <v>18114.84</v>
      </c>
      <c r="N19" s="363">
        <f t="shared" ref="N19:N32" si="2">J19-M19</f>
        <v>0</v>
      </c>
    </row>
    <row r="20" spans="1:14" ht="15" x14ac:dyDescent="0.2">
      <c r="A20" s="372" t="str">
        <f>'Planilha Orçamentária'!B40</f>
        <v>3.0</v>
      </c>
      <c r="B20" s="382" t="str">
        <f>'Planilha Orçamentária'!C40</f>
        <v>ANDAIME</v>
      </c>
      <c r="C20" s="386">
        <v>1920</v>
      </c>
      <c r="D20" s="365">
        <v>1920</v>
      </c>
      <c r="E20" s="365">
        <v>1920</v>
      </c>
      <c r="F20" s="365">
        <v>1920</v>
      </c>
      <c r="G20" s="365" t="s">
        <v>1176</v>
      </c>
      <c r="H20" s="365">
        <v>1878.56</v>
      </c>
      <c r="I20" s="365" t="s">
        <v>1176</v>
      </c>
      <c r="J20" s="365">
        <f>'Planilha Orçamentária'!I40</f>
        <v>9558.56</v>
      </c>
      <c r="K20" s="373">
        <f t="shared" si="0"/>
        <v>1.0883749317827134E-2</v>
      </c>
      <c r="M20" s="363">
        <f t="shared" si="1"/>
        <v>9558.56</v>
      </c>
      <c r="N20" s="363">
        <f t="shared" si="2"/>
        <v>0</v>
      </c>
    </row>
    <row r="21" spans="1:14" ht="15" x14ac:dyDescent="0.2">
      <c r="A21" s="372" t="str">
        <f>'Planilha Orçamentária'!B49</f>
        <v>4.0</v>
      </c>
      <c r="B21" s="382" t="str">
        <f>'Planilha Orçamentária'!C49</f>
        <v>TRANSPORTE DE MATERIAIS</v>
      </c>
      <c r="C21" s="386">
        <v>1457.96</v>
      </c>
      <c r="D21" s="365">
        <v>1400</v>
      </c>
      <c r="E21" s="365" t="s">
        <v>1176</v>
      </c>
      <c r="F21" s="365" t="s">
        <v>1176</v>
      </c>
      <c r="G21" s="365" t="s">
        <v>1176</v>
      </c>
      <c r="H21" s="365" t="s">
        <v>1176</v>
      </c>
      <c r="I21" s="365" t="s">
        <v>1176</v>
      </c>
      <c r="J21" s="365">
        <f>'Planilha Orçamentária'!I49</f>
        <v>2857.96</v>
      </c>
      <c r="K21" s="373">
        <f t="shared" si="0"/>
        <v>3.2541847517175431E-3</v>
      </c>
      <c r="M21" s="363">
        <f t="shared" si="1"/>
        <v>2857.96</v>
      </c>
      <c r="N21" s="363">
        <f t="shared" si="2"/>
        <v>0</v>
      </c>
    </row>
    <row r="22" spans="1:14" ht="15" x14ac:dyDescent="0.2">
      <c r="A22" s="372" t="str">
        <f>'Planilha Orçamentária'!B54</f>
        <v>5.0</v>
      </c>
      <c r="B22" s="382" t="str">
        <f>'Planilha Orçamentária'!C54</f>
        <v>FUNDAÇÃO</v>
      </c>
      <c r="C22" s="386" t="s">
        <v>1176</v>
      </c>
      <c r="D22" s="365">
        <v>849.27</v>
      </c>
      <c r="E22" s="365" t="s">
        <v>1176</v>
      </c>
      <c r="F22" s="365" t="s">
        <v>1176</v>
      </c>
      <c r="G22" s="365" t="s">
        <v>1176</v>
      </c>
      <c r="H22" s="365" t="s">
        <v>1176</v>
      </c>
      <c r="I22" s="365" t="s">
        <v>1176</v>
      </c>
      <c r="J22" s="365">
        <f>'Planilha Orçamentária'!I54</f>
        <v>849.27</v>
      </c>
      <c r="K22" s="373">
        <f t="shared" si="0"/>
        <v>9.6701195401305751E-4</v>
      </c>
      <c r="M22" s="363">
        <f t="shared" si="1"/>
        <v>849.27</v>
      </c>
      <c r="N22" s="363">
        <f t="shared" si="2"/>
        <v>0</v>
      </c>
    </row>
    <row r="23" spans="1:14" ht="15" x14ac:dyDescent="0.2">
      <c r="A23" s="372" t="str">
        <f>'Planilha Orçamentária'!B59</f>
        <v>6.0</v>
      </c>
      <c r="B23" s="382" t="str">
        <f>'Planilha Orçamentária'!C59</f>
        <v>ESTRUTURA</v>
      </c>
      <c r="C23" s="386">
        <v>6606.68</v>
      </c>
      <c r="D23" s="365" t="s">
        <v>1176</v>
      </c>
      <c r="E23" s="365" t="s">
        <v>1176</v>
      </c>
      <c r="F23" s="365" t="s">
        <v>1176</v>
      </c>
      <c r="G23" s="365" t="s">
        <v>1176</v>
      </c>
      <c r="H23" s="365" t="s">
        <v>1176</v>
      </c>
      <c r="I23" s="365" t="s">
        <v>1176</v>
      </c>
      <c r="J23" s="365">
        <f>'Planilha Orçamentária'!I59</f>
        <v>6606.6799999999994</v>
      </c>
      <c r="K23" s="373">
        <f t="shared" si="0"/>
        <v>7.5226235900702791E-3</v>
      </c>
      <c r="M23" s="363">
        <f>SUM(C23:I23)</f>
        <v>6606.68</v>
      </c>
      <c r="N23" s="363">
        <f t="shared" si="2"/>
        <v>0</v>
      </c>
    </row>
    <row r="24" spans="1:14" ht="15" x14ac:dyDescent="0.2">
      <c r="A24" s="372" t="str">
        <f>'Planilha Orçamentária'!B64</f>
        <v>7.0</v>
      </c>
      <c r="B24" s="382" t="str">
        <f>'Planilha Orçamentária'!C64</f>
        <v>ALVENARIA E DIVISÓRIA</v>
      </c>
      <c r="C24" s="386">
        <v>7977.16</v>
      </c>
      <c r="D24" s="365" t="s">
        <v>1176</v>
      </c>
      <c r="E24" s="365">
        <v>5741.21</v>
      </c>
      <c r="F24" s="365" t="s">
        <v>1176</v>
      </c>
      <c r="G24" s="365" t="s">
        <v>1176</v>
      </c>
      <c r="H24" s="365" t="s">
        <v>1176</v>
      </c>
      <c r="I24" s="365" t="s">
        <v>1176</v>
      </c>
      <c r="J24" s="365">
        <f>'Planilha Orçamentária'!I64</f>
        <v>13718.37</v>
      </c>
      <c r="K24" s="373">
        <f t="shared" si="0"/>
        <v>1.5620271267764208E-2</v>
      </c>
      <c r="M24" s="363">
        <f t="shared" si="1"/>
        <v>13718.369999999999</v>
      </c>
      <c r="N24" s="363">
        <f t="shared" si="2"/>
        <v>0</v>
      </c>
    </row>
    <row r="25" spans="1:14" ht="30" x14ac:dyDescent="0.2">
      <c r="A25" s="372" t="str">
        <f>'Planilha Orçamentária'!B70</f>
        <v>8.0</v>
      </c>
      <c r="B25" s="383" t="str">
        <f>'Planilha Orçamentária'!C70</f>
        <v>REVESTIMENTO DE PAREDES, TETOS E PISOS</v>
      </c>
      <c r="C25" s="386">
        <v>3338.36</v>
      </c>
      <c r="D25" s="365">
        <v>4000</v>
      </c>
      <c r="E25" s="365">
        <v>30000</v>
      </c>
      <c r="F25" s="365">
        <v>27047.48</v>
      </c>
      <c r="G25" s="365" t="s">
        <v>1176</v>
      </c>
      <c r="H25" s="365" t="s">
        <v>1176</v>
      </c>
      <c r="I25" s="365" t="s">
        <v>1176</v>
      </c>
      <c r="J25" s="365">
        <f>'Planilha Orçamentária'!I70</f>
        <v>64385.840000000018</v>
      </c>
      <c r="K25" s="373">
        <f t="shared" si="0"/>
        <v>7.3312229266513707E-2</v>
      </c>
      <c r="M25" s="363">
        <f t="shared" si="1"/>
        <v>64385.84</v>
      </c>
      <c r="N25" s="363">
        <f t="shared" si="2"/>
        <v>0</v>
      </c>
    </row>
    <row r="26" spans="1:14" ht="15" x14ac:dyDescent="0.2">
      <c r="A26" s="372" t="str">
        <f>'Planilha Orçamentária'!B91</f>
        <v>9.0</v>
      </c>
      <c r="B26" s="382" t="str">
        <f>'Planilha Orçamentária'!C91</f>
        <v>ESQUADRIAS</v>
      </c>
      <c r="C26" s="386" t="s">
        <v>1176</v>
      </c>
      <c r="D26" s="365" t="s">
        <v>1176</v>
      </c>
      <c r="E26" s="365">
        <v>34955.9</v>
      </c>
      <c r="F26" s="365">
        <v>45000</v>
      </c>
      <c r="G26" s="365">
        <v>45000</v>
      </c>
      <c r="H26" s="365" t="s">
        <v>1176</v>
      </c>
      <c r="I26" s="365" t="s">
        <v>1176</v>
      </c>
      <c r="J26" s="365">
        <f>'Planilha Orçamentária'!I91</f>
        <v>124955.9</v>
      </c>
      <c r="K26" s="373">
        <f t="shared" si="0"/>
        <v>0.14227966256250688</v>
      </c>
      <c r="M26" s="363">
        <f t="shared" si="1"/>
        <v>124955.9</v>
      </c>
      <c r="N26" s="363">
        <f t="shared" si="2"/>
        <v>0</v>
      </c>
    </row>
    <row r="27" spans="1:14" ht="15" x14ac:dyDescent="0.2">
      <c r="A27" s="372" t="str">
        <f>'Planilha Orçamentária'!B97</f>
        <v>10.0</v>
      </c>
      <c r="B27" s="383" t="str">
        <f>'Planilha Orçamentária'!C97</f>
        <v>INSTALAÇÕES HIDROSSANITÁRIAS</v>
      </c>
      <c r="C27" s="386">
        <v>7471.51</v>
      </c>
      <c r="D27" s="365"/>
      <c r="E27" s="365" t="s">
        <v>1176</v>
      </c>
      <c r="F27" s="365" t="s">
        <v>1176</v>
      </c>
      <c r="G27" s="365" t="s">
        <v>1176</v>
      </c>
      <c r="H27" s="365" t="s">
        <v>1176</v>
      </c>
      <c r="I27" s="365" t="s">
        <v>1176</v>
      </c>
      <c r="J27" s="365">
        <f>'Planilha Orçamentária'!I97</f>
        <v>7471.5100000000011</v>
      </c>
      <c r="K27" s="373">
        <f t="shared" si="0"/>
        <v>8.5073527671154052E-3</v>
      </c>
      <c r="M27" s="363">
        <f t="shared" si="1"/>
        <v>7471.51</v>
      </c>
      <c r="N27" s="363">
        <f t="shared" si="2"/>
        <v>0</v>
      </c>
    </row>
    <row r="28" spans="1:14" ht="15" x14ac:dyDescent="0.2">
      <c r="A28" s="372" t="str">
        <f>'Planilha Orçamentária'!B110</f>
        <v>11.0</v>
      </c>
      <c r="B28" s="382" t="str">
        <f>'Planilha Orçamentária'!C110</f>
        <v>COBERTURA</v>
      </c>
      <c r="C28" s="386">
        <v>20000</v>
      </c>
      <c r="D28" s="365">
        <v>25440.06</v>
      </c>
      <c r="E28" s="365" t="s">
        <v>1176</v>
      </c>
      <c r="F28" s="365" t="s">
        <v>1176</v>
      </c>
      <c r="G28" s="365" t="s">
        <v>1176</v>
      </c>
      <c r="H28" s="365" t="s">
        <v>1176</v>
      </c>
      <c r="I28" s="365" t="s">
        <v>1176</v>
      </c>
      <c r="J28" s="365">
        <f>'Planilha Orçamentária'!I110</f>
        <v>45440.06</v>
      </c>
      <c r="K28" s="373">
        <f t="shared" si="0"/>
        <v>5.1739825039234369E-2</v>
      </c>
      <c r="M28" s="363">
        <f t="shared" si="1"/>
        <v>45440.06</v>
      </c>
      <c r="N28" s="363">
        <f t="shared" si="2"/>
        <v>0</v>
      </c>
    </row>
    <row r="29" spans="1:14" ht="13.5" customHeight="1" x14ac:dyDescent="0.2">
      <c r="A29" s="372" t="str">
        <f>'Planilha Orçamentária'!B117</f>
        <v>12.0</v>
      </c>
      <c r="B29" s="382" t="str">
        <f>'Planilha Orçamentária'!C117</f>
        <v>ELÉTRICA , LOGICA E AR</v>
      </c>
      <c r="C29" s="386" t="s">
        <v>1176</v>
      </c>
      <c r="D29" s="365">
        <v>73865.73</v>
      </c>
      <c r="E29" s="365">
        <v>100000</v>
      </c>
      <c r="F29" s="365">
        <v>64113.04</v>
      </c>
      <c r="G29" s="365">
        <v>80000</v>
      </c>
      <c r="H29" s="365">
        <v>80000</v>
      </c>
      <c r="I29" s="365">
        <v>20000</v>
      </c>
      <c r="J29" s="365">
        <f>'Planilha Orçamentária'!I117</f>
        <v>417978.7699999999</v>
      </c>
      <c r="K29" s="373">
        <f t="shared" si="0"/>
        <v>0.47592693385339674</v>
      </c>
      <c r="M29" s="363">
        <f>SUM(C29:I29)</f>
        <v>417978.77</v>
      </c>
      <c r="N29" s="363">
        <f t="shared" si="2"/>
        <v>0</v>
      </c>
    </row>
    <row r="30" spans="1:14" ht="13.5" customHeight="1" x14ac:dyDescent="0.2">
      <c r="A30" s="372" t="str">
        <f>'Planilha Orçamentária'!B202</f>
        <v>13.0</v>
      </c>
      <c r="B30" s="382" t="str">
        <f>'Planilha Orçamentária'!C202</f>
        <v>PINTURA</v>
      </c>
      <c r="C30" s="386" t="s">
        <v>1176</v>
      </c>
      <c r="D30" s="365" t="s">
        <v>1176</v>
      </c>
      <c r="E30" s="365" t="s">
        <v>1176</v>
      </c>
      <c r="F30" s="365" t="s">
        <v>1176</v>
      </c>
      <c r="G30" s="365" t="s">
        <v>1176</v>
      </c>
      <c r="H30" s="365">
        <v>24831.94</v>
      </c>
      <c r="I30" s="365">
        <v>20000</v>
      </c>
      <c r="J30" s="365">
        <f>'Planilha Orçamentária'!I202</f>
        <v>44831.94</v>
      </c>
      <c r="K30" s="373">
        <f t="shared" si="0"/>
        <v>5.1047395883047977E-2</v>
      </c>
      <c r="M30" s="363">
        <f t="shared" si="1"/>
        <v>44831.94</v>
      </c>
      <c r="N30" s="363">
        <f t="shared" si="2"/>
        <v>0</v>
      </c>
    </row>
    <row r="31" spans="1:14" ht="13.5" customHeight="1" x14ac:dyDescent="0.2">
      <c r="A31" s="372" t="str">
        <f>'Planilha Orçamentária'!B210</f>
        <v>14.0</v>
      </c>
      <c r="B31" s="382" t="str">
        <f>'Planilha Orçamentária'!C210</f>
        <v>LOUÇAS E METAIS</v>
      </c>
      <c r="C31" s="386" t="s">
        <v>1176</v>
      </c>
      <c r="D31" s="365" t="s">
        <v>1176</v>
      </c>
      <c r="E31" s="365" t="s">
        <v>1176</v>
      </c>
      <c r="F31" s="365">
        <v>7179.36</v>
      </c>
      <c r="G31" s="365" t="s">
        <v>1176</v>
      </c>
      <c r="H31" s="365">
        <v>8000</v>
      </c>
      <c r="I31" s="365" t="s">
        <v>1176</v>
      </c>
      <c r="J31" s="365">
        <f>'Planilha Orçamentária'!I210</f>
        <v>15179.359999999999</v>
      </c>
      <c r="K31" s="373">
        <f t="shared" si="0"/>
        <v>1.7283811478408094E-2</v>
      </c>
      <c r="M31" s="363">
        <f t="shared" si="1"/>
        <v>15179.36</v>
      </c>
      <c r="N31" s="363">
        <f t="shared" si="2"/>
        <v>0</v>
      </c>
    </row>
    <row r="32" spans="1:14" ht="13.5" customHeight="1" x14ac:dyDescent="0.2">
      <c r="A32" s="372" t="str">
        <f>'Planilha Orçamentária'!B228</f>
        <v>15.0</v>
      </c>
      <c r="B32" s="382" t="str">
        <f>'Planilha Orçamentária'!C228</f>
        <v>ELEVADOR</v>
      </c>
      <c r="C32" s="386" t="s">
        <v>1176</v>
      </c>
      <c r="D32" s="365" t="s">
        <v>1176</v>
      </c>
      <c r="E32" s="365" t="s">
        <v>1176</v>
      </c>
      <c r="F32" s="365" t="s">
        <v>1176</v>
      </c>
      <c r="G32" s="365" t="s">
        <v>1176</v>
      </c>
      <c r="H32" s="365">
        <v>103123.24</v>
      </c>
      <c r="I32" s="365" t="s">
        <v>1176</v>
      </c>
      <c r="J32" s="365">
        <f>'Planilha Orçamentária'!I228</f>
        <v>103123.24</v>
      </c>
      <c r="K32" s="373">
        <f t="shared" si="0"/>
        <v>0.11742014414327305</v>
      </c>
      <c r="M32" s="363">
        <f t="shared" si="1"/>
        <v>103123.24</v>
      </c>
      <c r="N32" s="363">
        <f t="shared" si="2"/>
        <v>0</v>
      </c>
    </row>
    <row r="33" spans="1:14" ht="13.5" customHeight="1" x14ac:dyDescent="0.2">
      <c r="A33" s="375"/>
      <c r="B33" s="376"/>
      <c r="C33" s="387"/>
      <c r="D33" s="365"/>
      <c r="E33" s="365"/>
      <c r="F33" s="388"/>
      <c r="G33" s="388"/>
      <c r="H33" s="388"/>
      <c r="I33" s="388"/>
      <c r="J33" s="388"/>
      <c r="K33" s="389"/>
      <c r="M33" s="363"/>
      <c r="N33" s="363">
        <f t="shared" ref="N33:N34" si="3">J33-M33</f>
        <v>0</v>
      </c>
    </row>
    <row r="34" spans="1:14" ht="15" x14ac:dyDescent="0.2">
      <c r="A34" s="377"/>
      <c r="B34" s="384" t="s">
        <v>28</v>
      </c>
      <c r="C34" s="390">
        <f t="shared" ref="C34:K34" si="4">ROUND(SUM(C18:C32),2)</f>
        <v>70055.679999999993</v>
      </c>
      <c r="D34" s="364">
        <f t="shared" si="4"/>
        <v>107475.06</v>
      </c>
      <c r="E34" s="364">
        <f t="shared" si="4"/>
        <v>172617.11</v>
      </c>
      <c r="F34" s="364">
        <f t="shared" si="4"/>
        <v>145259.88</v>
      </c>
      <c r="G34" s="364">
        <f t="shared" ref="G34" si="5">ROUND(SUM(G18:G32),2)</f>
        <v>125000</v>
      </c>
      <c r="H34" s="364">
        <f t="shared" si="4"/>
        <v>217833.74</v>
      </c>
      <c r="I34" s="364">
        <f t="shared" si="4"/>
        <v>40000</v>
      </c>
      <c r="J34" s="366">
        <f t="shared" si="4"/>
        <v>878241.47</v>
      </c>
      <c r="K34" s="373">
        <f t="shared" si="4"/>
        <v>1</v>
      </c>
      <c r="L34" s="363"/>
      <c r="M34" s="363">
        <f t="shared" ref="M34" si="6">SUM(C34:I34)</f>
        <v>878241.47</v>
      </c>
      <c r="N34" s="363">
        <f t="shared" si="3"/>
        <v>0</v>
      </c>
    </row>
    <row r="35" spans="1:14" ht="15" x14ac:dyDescent="0.2">
      <c r="A35" s="378"/>
      <c r="B35" s="384" t="s">
        <v>1172</v>
      </c>
      <c r="C35" s="391">
        <f t="shared" ref="C35:I35" si="7">C34/$J$34</f>
        <v>7.9768130284259969E-2</v>
      </c>
      <c r="D35" s="367">
        <f t="shared" si="7"/>
        <v>0.1223752961699702</v>
      </c>
      <c r="E35" s="367">
        <f t="shared" si="7"/>
        <v>0.19654857564400824</v>
      </c>
      <c r="F35" s="367">
        <f t="shared" si="7"/>
        <v>0.16539856629635127</v>
      </c>
      <c r="G35" s="367">
        <f t="shared" si="7"/>
        <v>0.14232987654295123</v>
      </c>
      <c r="H35" s="367">
        <f t="shared" si="7"/>
        <v>0.24803399456871469</v>
      </c>
      <c r="I35" s="367">
        <f t="shared" si="7"/>
        <v>4.5545560493744391E-2</v>
      </c>
      <c r="J35" s="392"/>
      <c r="K35" s="393"/>
    </row>
    <row r="36" spans="1:14" ht="15" x14ac:dyDescent="0.2">
      <c r="A36" s="378"/>
      <c r="B36" s="384" t="s">
        <v>1173</v>
      </c>
      <c r="C36" s="390">
        <f>C34</f>
        <v>70055.679999999993</v>
      </c>
      <c r="D36" s="364">
        <f t="shared" ref="D36:F37" si="8">C36+D34</f>
        <v>177530.74</v>
      </c>
      <c r="E36" s="364">
        <f t="shared" si="8"/>
        <v>350147.85</v>
      </c>
      <c r="F36" s="364">
        <f t="shared" si="8"/>
        <v>495407.73</v>
      </c>
      <c r="G36" s="364">
        <f>F36+G34</f>
        <v>620407.73</v>
      </c>
      <c r="H36" s="364">
        <f>G36+H34</f>
        <v>838241.47</v>
      </c>
      <c r="I36" s="364">
        <f t="shared" ref="I36:I37" si="9">H36+I34</f>
        <v>878241.47</v>
      </c>
      <c r="J36" s="394"/>
      <c r="K36" s="395"/>
    </row>
    <row r="37" spans="1:14" ht="15.75" thickBot="1" x14ac:dyDescent="0.25">
      <c r="A37" s="379"/>
      <c r="B37" s="385" t="s">
        <v>1174</v>
      </c>
      <c r="C37" s="396">
        <f>C35</f>
        <v>7.9768130284259969E-2</v>
      </c>
      <c r="D37" s="374">
        <f t="shared" si="8"/>
        <v>0.20214342645423017</v>
      </c>
      <c r="E37" s="374">
        <f t="shared" ref="E37" si="10">D37+E35</f>
        <v>0.39869200209823841</v>
      </c>
      <c r="F37" s="374">
        <f t="shared" ref="F37" si="11">E37+F35</f>
        <v>0.56409056839458971</v>
      </c>
      <c r="G37" s="374">
        <f>F37+G35</f>
        <v>0.70642044493754097</v>
      </c>
      <c r="H37" s="374">
        <f>G37+H35</f>
        <v>0.95445443950625564</v>
      </c>
      <c r="I37" s="374">
        <f t="shared" si="9"/>
        <v>1</v>
      </c>
      <c r="J37" s="397"/>
      <c r="K37" s="398"/>
    </row>
  </sheetData>
  <mergeCells count="10">
    <mergeCell ref="A11:F11"/>
    <mergeCell ref="J11:K11"/>
    <mergeCell ref="A12:F12"/>
    <mergeCell ref="J13:K13"/>
    <mergeCell ref="A14:K14"/>
    <mergeCell ref="A16:A17"/>
    <mergeCell ref="B16:B17"/>
    <mergeCell ref="J16:J17"/>
    <mergeCell ref="K16:K17"/>
    <mergeCell ref="C16:I16"/>
  </mergeCells>
  <printOptions horizontalCentered="1"/>
  <pageMargins left="0.78740157480314965" right="0.78740157480314965" top="0.59055118110236227" bottom="0.78740157480314965" header="0.51181102362204722" footer="0.51181102362204722"/>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6"/>
  <sheetViews>
    <sheetView showGridLines="0" view="pageBreakPreview" topLeftCell="A16" zoomScaleNormal="100" zoomScaleSheetLayoutView="100" workbookViewId="0">
      <selection activeCell="D45" sqref="D45:E45"/>
    </sheetView>
  </sheetViews>
  <sheetFormatPr defaultRowHeight="12.75" x14ac:dyDescent="0.25"/>
  <cols>
    <col min="1" max="1" width="36.28515625" style="72" customWidth="1"/>
    <col min="2" max="2" width="15.28515625" style="72" bestFit="1" customWidth="1"/>
    <col min="3" max="3" width="14.5703125" style="72" customWidth="1"/>
    <col min="4" max="4" width="15.42578125" style="72" customWidth="1"/>
    <col min="5" max="5" width="18.42578125" style="72" bestFit="1" customWidth="1"/>
    <col min="6" max="6" width="9" style="72" bestFit="1" customWidth="1"/>
    <col min="7" max="7" width="11" style="72" customWidth="1"/>
    <col min="8" max="256" width="9.140625" style="72"/>
    <col min="257" max="257" width="36.28515625" style="72" customWidth="1"/>
    <col min="258" max="258" width="15.28515625" style="72" bestFit="1" customWidth="1"/>
    <col min="259" max="259" width="14.5703125" style="72" customWidth="1"/>
    <col min="260" max="260" width="15.42578125" style="72" customWidth="1"/>
    <col min="261" max="261" width="18.42578125" style="72" bestFit="1" customWidth="1"/>
    <col min="262" max="262" width="9" style="72" bestFit="1" customWidth="1"/>
    <col min="263" max="263" width="11" style="72" customWidth="1"/>
    <col min="264" max="512" width="9.140625" style="72"/>
    <col min="513" max="513" width="36.28515625" style="72" customWidth="1"/>
    <col min="514" max="514" width="15.28515625" style="72" bestFit="1" customWidth="1"/>
    <col min="515" max="515" width="14.5703125" style="72" customWidth="1"/>
    <col min="516" max="516" width="15.42578125" style="72" customWidth="1"/>
    <col min="517" max="517" width="18.42578125" style="72" bestFit="1" customWidth="1"/>
    <col min="518" max="518" width="9" style="72" bestFit="1" customWidth="1"/>
    <col min="519" max="519" width="11" style="72" customWidth="1"/>
    <col min="520" max="768" width="9.140625" style="72"/>
    <col min="769" max="769" width="36.28515625" style="72" customWidth="1"/>
    <col min="770" max="770" width="15.28515625" style="72" bestFit="1" customWidth="1"/>
    <col min="771" max="771" width="14.5703125" style="72" customWidth="1"/>
    <col min="772" max="772" width="15.42578125" style="72" customWidth="1"/>
    <col min="773" max="773" width="18.42578125" style="72" bestFit="1" customWidth="1"/>
    <col min="774" max="774" width="9" style="72" bestFit="1" customWidth="1"/>
    <col min="775" max="775" width="11" style="72" customWidth="1"/>
    <col min="776" max="1024" width="9.140625" style="72"/>
    <col min="1025" max="1025" width="36.28515625" style="72" customWidth="1"/>
    <col min="1026" max="1026" width="15.28515625" style="72" bestFit="1" customWidth="1"/>
    <col min="1027" max="1027" width="14.5703125" style="72" customWidth="1"/>
    <col min="1028" max="1028" width="15.42578125" style="72" customWidth="1"/>
    <col min="1029" max="1029" width="18.42578125" style="72" bestFit="1" customWidth="1"/>
    <col min="1030" max="1030" width="9" style="72" bestFit="1" customWidth="1"/>
    <col min="1031" max="1031" width="11" style="72" customWidth="1"/>
    <col min="1032" max="1280" width="9.140625" style="72"/>
    <col min="1281" max="1281" width="36.28515625" style="72" customWidth="1"/>
    <col min="1282" max="1282" width="15.28515625" style="72" bestFit="1" customWidth="1"/>
    <col min="1283" max="1283" width="14.5703125" style="72" customWidth="1"/>
    <col min="1284" max="1284" width="15.42578125" style="72" customWidth="1"/>
    <col min="1285" max="1285" width="18.42578125" style="72" bestFit="1" customWidth="1"/>
    <col min="1286" max="1286" width="9" style="72" bestFit="1" customWidth="1"/>
    <col min="1287" max="1287" width="11" style="72" customWidth="1"/>
    <col min="1288" max="1536" width="9.140625" style="72"/>
    <col min="1537" max="1537" width="36.28515625" style="72" customWidth="1"/>
    <col min="1538" max="1538" width="15.28515625" style="72" bestFit="1" customWidth="1"/>
    <col min="1539" max="1539" width="14.5703125" style="72" customWidth="1"/>
    <col min="1540" max="1540" width="15.42578125" style="72" customWidth="1"/>
    <col min="1541" max="1541" width="18.42578125" style="72" bestFit="1" customWidth="1"/>
    <col min="1542" max="1542" width="9" style="72" bestFit="1" customWidth="1"/>
    <col min="1543" max="1543" width="11" style="72" customWidth="1"/>
    <col min="1544" max="1792" width="9.140625" style="72"/>
    <col min="1793" max="1793" width="36.28515625" style="72" customWidth="1"/>
    <col min="1794" max="1794" width="15.28515625" style="72" bestFit="1" customWidth="1"/>
    <col min="1795" max="1795" width="14.5703125" style="72" customWidth="1"/>
    <col min="1796" max="1796" width="15.42578125" style="72" customWidth="1"/>
    <col min="1797" max="1797" width="18.42578125" style="72" bestFit="1" customWidth="1"/>
    <col min="1798" max="1798" width="9" style="72" bestFit="1" customWidth="1"/>
    <col min="1799" max="1799" width="11" style="72" customWidth="1"/>
    <col min="1800" max="2048" width="9.140625" style="72"/>
    <col min="2049" max="2049" width="36.28515625" style="72" customWidth="1"/>
    <col min="2050" max="2050" width="15.28515625" style="72" bestFit="1" customWidth="1"/>
    <col min="2051" max="2051" width="14.5703125" style="72" customWidth="1"/>
    <col min="2052" max="2052" width="15.42578125" style="72" customWidth="1"/>
    <col min="2053" max="2053" width="18.42578125" style="72" bestFit="1" customWidth="1"/>
    <col min="2054" max="2054" width="9" style="72" bestFit="1" customWidth="1"/>
    <col min="2055" max="2055" width="11" style="72" customWidth="1"/>
    <col min="2056" max="2304" width="9.140625" style="72"/>
    <col min="2305" max="2305" width="36.28515625" style="72" customWidth="1"/>
    <col min="2306" max="2306" width="15.28515625" style="72" bestFit="1" customWidth="1"/>
    <col min="2307" max="2307" width="14.5703125" style="72" customWidth="1"/>
    <col min="2308" max="2308" width="15.42578125" style="72" customWidth="1"/>
    <col min="2309" max="2309" width="18.42578125" style="72" bestFit="1" customWidth="1"/>
    <col min="2310" max="2310" width="9" style="72" bestFit="1" customWidth="1"/>
    <col min="2311" max="2311" width="11" style="72" customWidth="1"/>
    <col min="2312" max="2560" width="9.140625" style="72"/>
    <col min="2561" max="2561" width="36.28515625" style="72" customWidth="1"/>
    <col min="2562" max="2562" width="15.28515625" style="72" bestFit="1" customWidth="1"/>
    <col min="2563" max="2563" width="14.5703125" style="72" customWidth="1"/>
    <col min="2564" max="2564" width="15.42578125" style="72" customWidth="1"/>
    <col min="2565" max="2565" width="18.42578125" style="72" bestFit="1" customWidth="1"/>
    <col min="2566" max="2566" width="9" style="72" bestFit="1" customWidth="1"/>
    <col min="2567" max="2567" width="11" style="72" customWidth="1"/>
    <col min="2568" max="2816" width="9.140625" style="72"/>
    <col min="2817" max="2817" width="36.28515625" style="72" customWidth="1"/>
    <col min="2818" max="2818" width="15.28515625" style="72" bestFit="1" customWidth="1"/>
    <col min="2819" max="2819" width="14.5703125" style="72" customWidth="1"/>
    <col min="2820" max="2820" width="15.42578125" style="72" customWidth="1"/>
    <col min="2821" max="2821" width="18.42578125" style="72" bestFit="1" customWidth="1"/>
    <col min="2822" max="2822" width="9" style="72" bestFit="1" customWidth="1"/>
    <col min="2823" max="2823" width="11" style="72" customWidth="1"/>
    <col min="2824" max="3072" width="9.140625" style="72"/>
    <col min="3073" max="3073" width="36.28515625" style="72" customWidth="1"/>
    <col min="3074" max="3074" width="15.28515625" style="72" bestFit="1" customWidth="1"/>
    <col min="3075" max="3075" width="14.5703125" style="72" customWidth="1"/>
    <col min="3076" max="3076" width="15.42578125" style="72" customWidth="1"/>
    <col min="3077" max="3077" width="18.42578125" style="72" bestFit="1" customWidth="1"/>
    <col min="3078" max="3078" width="9" style="72" bestFit="1" customWidth="1"/>
    <col min="3079" max="3079" width="11" style="72" customWidth="1"/>
    <col min="3080" max="3328" width="9.140625" style="72"/>
    <col min="3329" max="3329" width="36.28515625" style="72" customWidth="1"/>
    <col min="3330" max="3330" width="15.28515625" style="72" bestFit="1" customWidth="1"/>
    <col min="3331" max="3331" width="14.5703125" style="72" customWidth="1"/>
    <col min="3332" max="3332" width="15.42578125" style="72" customWidth="1"/>
    <col min="3333" max="3333" width="18.42578125" style="72" bestFit="1" customWidth="1"/>
    <col min="3334" max="3334" width="9" style="72" bestFit="1" customWidth="1"/>
    <col min="3335" max="3335" width="11" style="72" customWidth="1"/>
    <col min="3336" max="3584" width="9.140625" style="72"/>
    <col min="3585" max="3585" width="36.28515625" style="72" customWidth="1"/>
    <col min="3586" max="3586" width="15.28515625" style="72" bestFit="1" customWidth="1"/>
    <col min="3587" max="3587" width="14.5703125" style="72" customWidth="1"/>
    <col min="3588" max="3588" width="15.42578125" style="72" customWidth="1"/>
    <col min="3589" max="3589" width="18.42578125" style="72" bestFit="1" customWidth="1"/>
    <col min="3590" max="3590" width="9" style="72" bestFit="1" customWidth="1"/>
    <col min="3591" max="3591" width="11" style="72" customWidth="1"/>
    <col min="3592" max="3840" width="9.140625" style="72"/>
    <col min="3841" max="3841" width="36.28515625" style="72" customWidth="1"/>
    <col min="3842" max="3842" width="15.28515625" style="72" bestFit="1" customWidth="1"/>
    <col min="3843" max="3843" width="14.5703125" style="72" customWidth="1"/>
    <col min="3844" max="3844" width="15.42578125" style="72" customWidth="1"/>
    <col min="3845" max="3845" width="18.42578125" style="72" bestFit="1" customWidth="1"/>
    <col min="3846" max="3846" width="9" style="72" bestFit="1" customWidth="1"/>
    <col min="3847" max="3847" width="11" style="72" customWidth="1"/>
    <col min="3848" max="4096" width="9.140625" style="72"/>
    <col min="4097" max="4097" width="36.28515625" style="72" customWidth="1"/>
    <col min="4098" max="4098" width="15.28515625" style="72" bestFit="1" customWidth="1"/>
    <col min="4099" max="4099" width="14.5703125" style="72" customWidth="1"/>
    <col min="4100" max="4100" width="15.42578125" style="72" customWidth="1"/>
    <col min="4101" max="4101" width="18.42578125" style="72" bestFit="1" customWidth="1"/>
    <col min="4102" max="4102" width="9" style="72" bestFit="1" customWidth="1"/>
    <col min="4103" max="4103" width="11" style="72" customWidth="1"/>
    <col min="4104" max="4352" width="9.140625" style="72"/>
    <col min="4353" max="4353" width="36.28515625" style="72" customWidth="1"/>
    <col min="4354" max="4354" width="15.28515625" style="72" bestFit="1" customWidth="1"/>
    <col min="4355" max="4355" width="14.5703125" style="72" customWidth="1"/>
    <col min="4356" max="4356" width="15.42578125" style="72" customWidth="1"/>
    <col min="4357" max="4357" width="18.42578125" style="72" bestFit="1" customWidth="1"/>
    <col min="4358" max="4358" width="9" style="72" bestFit="1" customWidth="1"/>
    <col min="4359" max="4359" width="11" style="72" customWidth="1"/>
    <col min="4360" max="4608" width="9.140625" style="72"/>
    <col min="4609" max="4609" width="36.28515625" style="72" customWidth="1"/>
    <col min="4610" max="4610" width="15.28515625" style="72" bestFit="1" customWidth="1"/>
    <col min="4611" max="4611" width="14.5703125" style="72" customWidth="1"/>
    <col min="4612" max="4612" width="15.42578125" style="72" customWidth="1"/>
    <col min="4613" max="4613" width="18.42578125" style="72" bestFit="1" customWidth="1"/>
    <col min="4614" max="4614" width="9" style="72" bestFit="1" customWidth="1"/>
    <col min="4615" max="4615" width="11" style="72" customWidth="1"/>
    <col min="4616" max="4864" width="9.140625" style="72"/>
    <col min="4865" max="4865" width="36.28515625" style="72" customWidth="1"/>
    <col min="4866" max="4866" width="15.28515625" style="72" bestFit="1" customWidth="1"/>
    <col min="4867" max="4867" width="14.5703125" style="72" customWidth="1"/>
    <col min="4868" max="4868" width="15.42578125" style="72" customWidth="1"/>
    <col min="4869" max="4869" width="18.42578125" style="72" bestFit="1" customWidth="1"/>
    <col min="4870" max="4870" width="9" style="72" bestFit="1" customWidth="1"/>
    <col min="4871" max="4871" width="11" style="72" customWidth="1"/>
    <col min="4872" max="5120" width="9.140625" style="72"/>
    <col min="5121" max="5121" width="36.28515625" style="72" customWidth="1"/>
    <col min="5122" max="5122" width="15.28515625" style="72" bestFit="1" customWidth="1"/>
    <col min="5123" max="5123" width="14.5703125" style="72" customWidth="1"/>
    <col min="5124" max="5124" width="15.42578125" style="72" customWidth="1"/>
    <col min="5125" max="5125" width="18.42578125" style="72" bestFit="1" customWidth="1"/>
    <col min="5126" max="5126" width="9" style="72" bestFit="1" customWidth="1"/>
    <col min="5127" max="5127" width="11" style="72" customWidth="1"/>
    <col min="5128" max="5376" width="9.140625" style="72"/>
    <col min="5377" max="5377" width="36.28515625" style="72" customWidth="1"/>
    <col min="5378" max="5378" width="15.28515625" style="72" bestFit="1" customWidth="1"/>
    <col min="5379" max="5379" width="14.5703125" style="72" customWidth="1"/>
    <col min="5380" max="5380" width="15.42578125" style="72" customWidth="1"/>
    <col min="5381" max="5381" width="18.42578125" style="72" bestFit="1" customWidth="1"/>
    <col min="5382" max="5382" width="9" style="72" bestFit="1" customWidth="1"/>
    <col min="5383" max="5383" width="11" style="72" customWidth="1"/>
    <col min="5384" max="5632" width="9.140625" style="72"/>
    <col min="5633" max="5633" width="36.28515625" style="72" customWidth="1"/>
    <col min="5634" max="5634" width="15.28515625" style="72" bestFit="1" customWidth="1"/>
    <col min="5635" max="5635" width="14.5703125" style="72" customWidth="1"/>
    <col min="5636" max="5636" width="15.42578125" style="72" customWidth="1"/>
    <col min="5637" max="5637" width="18.42578125" style="72" bestFit="1" customWidth="1"/>
    <col min="5638" max="5638" width="9" style="72" bestFit="1" customWidth="1"/>
    <col min="5639" max="5639" width="11" style="72" customWidth="1"/>
    <col min="5640" max="5888" width="9.140625" style="72"/>
    <col min="5889" max="5889" width="36.28515625" style="72" customWidth="1"/>
    <col min="5890" max="5890" width="15.28515625" style="72" bestFit="1" customWidth="1"/>
    <col min="5891" max="5891" width="14.5703125" style="72" customWidth="1"/>
    <col min="5892" max="5892" width="15.42578125" style="72" customWidth="1"/>
    <col min="5893" max="5893" width="18.42578125" style="72" bestFit="1" customWidth="1"/>
    <col min="5894" max="5894" width="9" style="72" bestFit="1" customWidth="1"/>
    <col min="5895" max="5895" width="11" style="72" customWidth="1"/>
    <col min="5896" max="6144" width="9.140625" style="72"/>
    <col min="6145" max="6145" width="36.28515625" style="72" customWidth="1"/>
    <col min="6146" max="6146" width="15.28515625" style="72" bestFit="1" customWidth="1"/>
    <col min="6147" max="6147" width="14.5703125" style="72" customWidth="1"/>
    <col min="6148" max="6148" width="15.42578125" style="72" customWidth="1"/>
    <col min="6149" max="6149" width="18.42578125" style="72" bestFit="1" customWidth="1"/>
    <col min="6150" max="6150" width="9" style="72" bestFit="1" customWidth="1"/>
    <col min="6151" max="6151" width="11" style="72" customWidth="1"/>
    <col min="6152" max="6400" width="9.140625" style="72"/>
    <col min="6401" max="6401" width="36.28515625" style="72" customWidth="1"/>
    <col min="6402" max="6402" width="15.28515625" style="72" bestFit="1" customWidth="1"/>
    <col min="6403" max="6403" width="14.5703125" style="72" customWidth="1"/>
    <col min="6404" max="6404" width="15.42578125" style="72" customWidth="1"/>
    <col min="6405" max="6405" width="18.42578125" style="72" bestFit="1" customWidth="1"/>
    <col min="6406" max="6406" width="9" style="72" bestFit="1" customWidth="1"/>
    <col min="6407" max="6407" width="11" style="72" customWidth="1"/>
    <col min="6408" max="6656" width="9.140625" style="72"/>
    <col min="6657" max="6657" width="36.28515625" style="72" customWidth="1"/>
    <col min="6658" max="6658" width="15.28515625" style="72" bestFit="1" customWidth="1"/>
    <col min="6659" max="6659" width="14.5703125" style="72" customWidth="1"/>
    <col min="6660" max="6660" width="15.42578125" style="72" customWidth="1"/>
    <col min="6661" max="6661" width="18.42578125" style="72" bestFit="1" customWidth="1"/>
    <col min="6662" max="6662" width="9" style="72" bestFit="1" customWidth="1"/>
    <col min="6663" max="6663" width="11" style="72" customWidth="1"/>
    <col min="6664" max="6912" width="9.140625" style="72"/>
    <col min="6913" max="6913" width="36.28515625" style="72" customWidth="1"/>
    <col min="6914" max="6914" width="15.28515625" style="72" bestFit="1" customWidth="1"/>
    <col min="6915" max="6915" width="14.5703125" style="72" customWidth="1"/>
    <col min="6916" max="6916" width="15.42578125" style="72" customWidth="1"/>
    <col min="6917" max="6917" width="18.42578125" style="72" bestFit="1" customWidth="1"/>
    <col min="6918" max="6918" width="9" style="72" bestFit="1" customWidth="1"/>
    <col min="6919" max="6919" width="11" style="72" customWidth="1"/>
    <col min="6920" max="7168" width="9.140625" style="72"/>
    <col min="7169" max="7169" width="36.28515625" style="72" customWidth="1"/>
    <col min="7170" max="7170" width="15.28515625" style="72" bestFit="1" customWidth="1"/>
    <col min="7171" max="7171" width="14.5703125" style="72" customWidth="1"/>
    <col min="7172" max="7172" width="15.42578125" style="72" customWidth="1"/>
    <col min="7173" max="7173" width="18.42578125" style="72" bestFit="1" customWidth="1"/>
    <col min="7174" max="7174" width="9" style="72" bestFit="1" customWidth="1"/>
    <col min="7175" max="7175" width="11" style="72" customWidth="1"/>
    <col min="7176" max="7424" width="9.140625" style="72"/>
    <col min="7425" max="7425" width="36.28515625" style="72" customWidth="1"/>
    <col min="7426" max="7426" width="15.28515625" style="72" bestFit="1" customWidth="1"/>
    <col min="7427" max="7427" width="14.5703125" style="72" customWidth="1"/>
    <col min="7428" max="7428" width="15.42578125" style="72" customWidth="1"/>
    <col min="7429" max="7429" width="18.42578125" style="72" bestFit="1" customWidth="1"/>
    <col min="7430" max="7430" width="9" style="72" bestFit="1" customWidth="1"/>
    <col min="7431" max="7431" width="11" style="72" customWidth="1"/>
    <col min="7432" max="7680" width="9.140625" style="72"/>
    <col min="7681" max="7681" width="36.28515625" style="72" customWidth="1"/>
    <col min="7682" max="7682" width="15.28515625" style="72" bestFit="1" customWidth="1"/>
    <col min="7683" max="7683" width="14.5703125" style="72" customWidth="1"/>
    <col min="7684" max="7684" width="15.42578125" style="72" customWidth="1"/>
    <col min="7685" max="7685" width="18.42578125" style="72" bestFit="1" customWidth="1"/>
    <col min="7686" max="7686" width="9" style="72" bestFit="1" customWidth="1"/>
    <col min="7687" max="7687" width="11" style="72" customWidth="1"/>
    <col min="7688" max="7936" width="9.140625" style="72"/>
    <col min="7937" max="7937" width="36.28515625" style="72" customWidth="1"/>
    <col min="7938" max="7938" width="15.28515625" style="72" bestFit="1" customWidth="1"/>
    <col min="7939" max="7939" width="14.5703125" style="72" customWidth="1"/>
    <col min="7940" max="7940" width="15.42578125" style="72" customWidth="1"/>
    <col min="7941" max="7941" width="18.42578125" style="72" bestFit="1" customWidth="1"/>
    <col min="7942" max="7942" width="9" style="72" bestFit="1" customWidth="1"/>
    <col min="7943" max="7943" width="11" style="72" customWidth="1"/>
    <col min="7944" max="8192" width="9.140625" style="72"/>
    <col min="8193" max="8193" width="36.28515625" style="72" customWidth="1"/>
    <col min="8194" max="8194" width="15.28515625" style="72" bestFit="1" customWidth="1"/>
    <col min="8195" max="8195" width="14.5703125" style="72" customWidth="1"/>
    <col min="8196" max="8196" width="15.42578125" style="72" customWidth="1"/>
    <col min="8197" max="8197" width="18.42578125" style="72" bestFit="1" customWidth="1"/>
    <col min="8198" max="8198" width="9" style="72" bestFit="1" customWidth="1"/>
    <col min="8199" max="8199" width="11" style="72" customWidth="1"/>
    <col min="8200" max="8448" width="9.140625" style="72"/>
    <col min="8449" max="8449" width="36.28515625" style="72" customWidth="1"/>
    <col min="8450" max="8450" width="15.28515625" style="72" bestFit="1" customWidth="1"/>
    <col min="8451" max="8451" width="14.5703125" style="72" customWidth="1"/>
    <col min="8452" max="8452" width="15.42578125" style="72" customWidth="1"/>
    <col min="8453" max="8453" width="18.42578125" style="72" bestFit="1" customWidth="1"/>
    <col min="8454" max="8454" width="9" style="72" bestFit="1" customWidth="1"/>
    <col min="8455" max="8455" width="11" style="72" customWidth="1"/>
    <col min="8456" max="8704" width="9.140625" style="72"/>
    <col min="8705" max="8705" width="36.28515625" style="72" customWidth="1"/>
    <col min="8706" max="8706" width="15.28515625" style="72" bestFit="1" customWidth="1"/>
    <col min="8707" max="8707" width="14.5703125" style="72" customWidth="1"/>
    <col min="8708" max="8708" width="15.42578125" style="72" customWidth="1"/>
    <col min="8709" max="8709" width="18.42578125" style="72" bestFit="1" customWidth="1"/>
    <col min="8710" max="8710" width="9" style="72" bestFit="1" customWidth="1"/>
    <col min="8711" max="8711" width="11" style="72" customWidth="1"/>
    <col min="8712" max="8960" width="9.140625" style="72"/>
    <col min="8961" max="8961" width="36.28515625" style="72" customWidth="1"/>
    <col min="8962" max="8962" width="15.28515625" style="72" bestFit="1" customWidth="1"/>
    <col min="8963" max="8963" width="14.5703125" style="72" customWidth="1"/>
    <col min="8964" max="8964" width="15.42578125" style="72" customWidth="1"/>
    <col min="8965" max="8965" width="18.42578125" style="72" bestFit="1" customWidth="1"/>
    <col min="8966" max="8966" width="9" style="72" bestFit="1" customWidth="1"/>
    <col min="8967" max="8967" width="11" style="72" customWidth="1"/>
    <col min="8968" max="9216" width="9.140625" style="72"/>
    <col min="9217" max="9217" width="36.28515625" style="72" customWidth="1"/>
    <col min="9218" max="9218" width="15.28515625" style="72" bestFit="1" customWidth="1"/>
    <col min="9219" max="9219" width="14.5703125" style="72" customWidth="1"/>
    <col min="9220" max="9220" width="15.42578125" style="72" customWidth="1"/>
    <col min="9221" max="9221" width="18.42578125" style="72" bestFit="1" customWidth="1"/>
    <col min="9222" max="9222" width="9" style="72" bestFit="1" customWidth="1"/>
    <col min="9223" max="9223" width="11" style="72" customWidth="1"/>
    <col min="9224" max="9472" width="9.140625" style="72"/>
    <col min="9473" max="9473" width="36.28515625" style="72" customWidth="1"/>
    <col min="9474" max="9474" width="15.28515625" style="72" bestFit="1" customWidth="1"/>
    <col min="9475" max="9475" width="14.5703125" style="72" customWidth="1"/>
    <col min="9476" max="9476" width="15.42578125" style="72" customWidth="1"/>
    <col min="9477" max="9477" width="18.42578125" style="72" bestFit="1" customWidth="1"/>
    <col min="9478" max="9478" width="9" style="72" bestFit="1" customWidth="1"/>
    <col min="9479" max="9479" width="11" style="72" customWidth="1"/>
    <col min="9480" max="9728" width="9.140625" style="72"/>
    <col min="9729" max="9729" width="36.28515625" style="72" customWidth="1"/>
    <col min="9730" max="9730" width="15.28515625" style="72" bestFit="1" customWidth="1"/>
    <col min="9731" max="9731" width="14.5703125" style="72" customWidth="1"/>
    <col min="9732" max="9732" width="15.42578125" style="72" customWidth="1"/>
    <col min="9733" max="9733" width="18.42578125" style="72" bestFit="1" customWidth="1"/>
    <col min="9734" max="9734" width="9" style="72" bestFit="1" customWidth="1"/>
    <col min="9735" max="9735" width="11" style="72" customWidth="1"/>
    <col min="9736" max="9984" width="9.140625" style="72"/>
    <col min="9985" max="9985" width="36.28515625" style="72" customWidth="1"/>
    <col min="9986" max="9986" width="15.28515625" style="72" bestFit="1" customWidth="1"/>
    <col min="9987" max="9987" width="14.5703125" style="72" customWidth="1"/>
    <col min="9988" max="9988" width="15.42578125" style="72" customWidth="1"/>
    <col min="9989" max="9989" width="18.42578125" style="72" bestFit="1" customWidth="1"/>
    <col min="9990" max="9990" width="9" style="72" bestFit="1" customWidth="1"/>
    <col min="9991" max="9991" width="11" style="72" customWidth="1"/>
    <col min="9992" max="10240" width="9.140625" style="72"/>
    <col min="10241" max="10241" width="36.28515625" style="72" customWidth="1"/>
    <col min="10242" max="10242" width="15.28515625" style="72" bestFit="1" customWidth="1"/>
    <col min="10243" max="10243" width="14.5703125" style="72" customWidth="1"/>
    <col min="10244" max="10244" width="15.42578125" style="72" customWidth="1"/>
    <col min="10245" max="10245" width="18.42578125" style="72" bestFit="1" customWidth="1"/>
    <col min="10246" max="10246" width="9" style="72" bestFit="1" customWidth="1"/>
    <col min="10247" max="10247" width="11" style="72" customWidth="1"/>
    <col min="10248" max="10496" width="9.140625" style="72"/>
    <col min="10497" max="10497" width="36.28515625" style="72" customWidth="1"/>
    <col min="10498" max="10498" width="15.28515625" style="72" bestFit="1" customWidth="1"/>
    <col min="10499" max="10499" width="14.5703125" style="72" customWidth="1"/>
    <col min="10500" max="10500" width="15.42578125" style="72" customWidth="1"/>
    <col min="10501" max="10501" width="18.42578125" style="72" bestFit="1" customWidth="1"/>
    <col min="10502" max="10502" width="9" style="72" bestFit="1" customWidth="1"/>
    <col min="10503" max="10503" width="11" style="72" customWidth="1"/>
    <col min="10504" max="10752" width="9.140625" style="72"/>
    <col min="10753" max="10753" width="36.28515625" style="72" customWidth="1"/>
    <col min="10754" max="10754" width="15.28515625" style="72" bestFit="1" customWidth="1"/>
    <col min="10755" max="10755" width="14.5703125" style="72" customWidth="1"/>
    <col min="10756" max="10756" width="15.42578125" style="72" customWidth="1"/>
    <col min="10757" max="10757" width="18.42578125" style="72" bestFit="1" customWidth="1"/>
    <col min="10758" max="10758" width="9" style="72" bestFit="1" customWidth="1"/>
    <col min="10759" max="10759" width="11" style="72" customWidth="1"/>
    <col min="10760" max="11008" width="9.140625" style="72"/>
    <col min="11009" max="11009" width="36.28515625" style="72" customWidth="1"/>
    <col min="11010" max="11010" width="15.28515625" style="72" bestFit="1" customWidth="1"/>
    <col min="11011" max="11011" width="14.5703125" style="72" customWidth="1"/>
    <col min="11012" max="11012" width="15.42578125" style="72" customWidth="1"/>
    <col min="11013" max="11013" width="18.42578125" style="72" bestFit="1" customWidth="1"/>
    <col min="11014" max="11014" width="9" style="72" bestFit="1" customWidth="1"/>
    <col min="11015" max="11015" width="11" style="72" customWidth="1"/>
    <col min="11016" max="11264" width="9.140625" style="72"/>
    <col min="11265" max="11265" width="36.28515625" style="72" customWidth="1"/>
    <col min="11266" max="11266" width="15.28515625" style="72" bestFit="1" customWidth="1"/>
    <col min="11267" max="11267" width="14.5703125" style="72" customWidth="1"/>
    <col min="11268" max="11268" width="15.42578125" style="72" customWidth="1"/>
    <col min="11269" max="11269" width="18.42578125" style="72" bestFit="1" customWidth="1"/>
    <col min="11270" max="11270" width="9" style="72" bestFit="1" customWidth="1"/>
    <col min="11271" max="11271" width="11" style="72" customWidth="1"/>
    <col min="11272" max="11520" width="9.140625" style="72"/>
    <col min="11521" max="11521" width="36.28515625" style="72" customWidth="1"/>
    <col min="11522" max="11522" width="15.28515625" style="72" bestFit="1" customWidth="1"/>
    <col min="11523" max="11523" width="14.5703125" style="72" customWidth="1"/>
    <col min="11524" max="11524" width="15.42578125" style="72" customWidth="1"/>
    <col min="11525" max="11525" width="18.42578125" style="72" bestFit="1" customWidth="1"/>
    <col min="11526" max="11526" width="9" style="72" bestFit="1" customWidth="1"/>
    <col min="11527" max="11527" width="11" style="72" customWidth="1"/>
    <col min="11528" max="11776" width="9.140625" style="72"/>
    <col min="11777" max="11777" width="36.28515625" style="72" customWidth="1"/>
    <col min="11778" max="11778" width="15.28515625" style="72" bestFit="1" customWidth="1"/>
    <col min="11779" max="11779" width="14.5703125" style="72" customWidth="1"/>
    <col min="11780" max="11780" width="15.42578125" style="72" customWidth="1"/>
    <col min="11781" max="11781" width="18.42578125" style="72" bestFit="1" customWidth="1"/>
    <col min="11782" max="11782" width="9" style="72" bestFit="1" customWidth="1"/>
    <col min="11783" max="11783" width="11" style="72" customWidth="1"/>
    <col min="11784" max="12032" width="9.140625" style="72"/>
    <col min="12033" max="12033" width="36.28515625" style="72" customWidth="1"/>
    <col min="12034" max="12034" width="15.28515625" style="72" bestFit="1" customWidth="1"/>
    <col min="12035" max="12035" width="14.5703125" style="72" customWidth="1"/>
    <col min="12036" max="12036" width="15.42578125" style="72" customWidth="1"/>
    <col min="12037" max="12037" width="18.42578125" style="72" bestFit="1" customWidth="1"/>
    <col min="12038" max="12038" width="9" style="72" bestFit="1" customWidth="1"/>
    <col min="12039" max="12039" width="11" style="72" customWidth="1"/>
    <col min="12040" max="12288" width="9.140625" style="72"/>
    <col min="12289" max="12289" width="36.28515625" style="72" customWidth="1"/>
    <col min="12290" max="12290" width="15.28515625" style="72" bestFit="1" customWidth="1"/>
    <col min="12291" max="12291" width="14.5703125" style="72" customWidth="1"/>
    <col min="12292" max="12292" width="15.42578125" style="72" customWidth="1"/>
    <col min="12293" max="12293" width="18.42578125" style="72" bestFit="1" customWidth="1"/>
    <col min="12294" max="12294" width="9" style="72" bestFit="1" customWidth="1"/>
    <col min="12295" max="12295" width="11" style="72" customWidth="1"/>
    <col min="12296" max="12544" width="9.140625" style="72"/>
    <col min="12545" max="12545" width="36.28515625" style="72" customWidth="1"/>
    <col min="12546" max="12546" width="15.28515625" style="72" bestFit="1" customWidth="1"/>
    <col min="12547" max="12547" width="14.5703125" style="72" customWidth="1"/>
    <col min="12548" max="12548" width="15.42578125" style="72" customWidth="1"/>
    <col min="12549" max="12549" width="18.42578125" style="72" bestFit="1" customWidth="1"/>
    <col min="12550" max="12550" width="9" style="72" bestFit="1" customWidth="1"/>
    <col min="12551" max="12551" width="11" style="72" customWidth="1"/>
    <col min="12552" max="12800" width="9.140625" style="72"/>
    <col min="12801" max="12801" width="36.28515625" style="72" customWidth="1"/>
    <col min="12802" max="12802" width="15.28515625" style="72" bestFit="1" customWidth="1"/>
    <col min="12803" max="12803" width="14.5703125" style="72" customWidth="1"/>
    <col min="12804" max="12804" width="15.42578125" style="72" customWidth="1"/>
    <col min="12805" max="12805" width="18.42578125" style="72" bestFit="1" customWidth="1"/>
    <col min="12806" max="12806" width="9" style="72" bestFit="1" customWidth="1"/>
    <col min="12807" max="12807" width="11" style="72" customWidth="1"/>
    <col min="12808" max="13056" width="9.140625" style="72"/>
    <col min="13057" max="13057" width="36.28515625" style="72" customWidth="1"/>
    <col min="13058" max="13058" width="15.28515625" style="72" bestFit="1" customWidth="1"/>
    <col min="13059" max="13059" width="14.5703125" style="72" customWidth="1"/>
    <col min="13060" max="13060" width="15.42578125" style="72" customWidth="1"/>
    <col min="13061" max="13061" width="18.42578125" style="72" bestFit="1" customWidth="1"/>
    <col min="13062" max="13062" width="9" style="72" bestFit="1" customWidth="1"/>
    <col min="13063" max="13063" width="11" style="72" customWidth="1"/>
    <col min="13064" max="13312" width="9.140625" style="72"/>
    <col min="13313" max="13313" width="36.28515625" style="72" customWidth="1"/>
    <col min="13314" max="13314" width="15.28515625" style="72" bestFit="1" customWidth="1"/>
    <col min="13315" max="13315" width="14.5703125" style="72" customWidth="1"/>
    <col min="13316" max="13316" width="15.42578125" style="72" customWidth="1"/>
    <col min="13317" max="13317" width="18.42578125" style="72" bestFit="1" customWidth="1"/>
    <col min="13318" max="13318" width="9" style="72" bestFit="1" customWidth="1"/>
    <col min="13319" max="13319" width="11" style="72" customWidth="1"/>
    <col min="13320" max="13568" width="9.140625" style="72"/>
    <col min="13569" max="13569" width="36.28515625" style="72" customWidth="1"/>
    <col min="13570" max="13570" width="15.28515625" style="72" bestFit="1" customWidth="1"/>
    <col min="13571" max="13571" width="14.5703125" style="72" customWidth="1"/>
    <col min="13572" max="13572" width="15.42578125" style="72" customWidth="1"/>
    <col min="13573" max="13573" width="18.42578125" style="72" bestFit="1" customWidth="1"/>
    <col min="13574" max="13574" width="9" style="72" bestFit="1" customWidth="1"/>
    <col min="13575" max="13575" width="11" style="72" customWidth="1"/>
    <col min="13576" max="13824" width="9.140625" style="72"/>
    <col min="13825" max="13825" width="36.28515625" style="72" customWidth="1"/>
    <col min="13826" max="13826" width="15.28515625" style="72" bestFit="1" customWidth="1"/>
    <col min="13827" max="13827" width="14.5703125" style="72" customWidth="1"/>
    <col min="13828" max="13828" width="15.42578125" style="72" customWidth="1"/>
    <col min="13829" max="13829" width="18.42578125" style="72" bestFit="1" customWidth="1"/>
    <col min="13830" max="13830" width="9" style="72" bestFit="1" customWidth="1"/>
    <col min="13831" max="13831" width="11" style="72" customWidth="1"/>
    <col min="13832" max="14080" width="9.140625" style="72"/>
    <col min="14081" max="14081" width="36.28515625" style="72" customWidth="1"/>
    <col min="14082" max="14082" width="15.28515625" style="72" bestFit="1" customWidth="1"/>
    <col min="14083" max="14083" width="14.5703125" style="72" customWidth="1"/>
    <col min="14084" max="14084" width="15.42578125" style="72" customWidth="1"/>
    <col min="14085" max="14085" width="18.42578125" style="72" bestFit="1" customWidth="1"/>
    <col min="14086" max="14086" width="9" style="72" bestFit="1" customWidth="1"/>
    <col min="14087" max="14087" width="11" style="72" customWidth="1"/>
    <col min="14088" max="14336" width="9.140625" style="72"/>
    <col min="14337" max="14337" width="36.28515625" style="72" customWidth="1"/>
    <col min="14338" max="14338" width="15.28515625" style="72" bestFit="1" customWidth="1"/>
    <col min="14339" max="14339" width="14.5703125" style="72" customWidth="1"/>
    <col min="14340" max="14340" width="15.42578125" style="72" customWidth="1"/>
    <col min="14341" max="14341" width="18.42578125" style="72" bestFit="1" customWidth="1"/>
    <col min="14342" max="14342" width="9" style="72" bestFit="1" customWidth="1"/>
    <col min="14343" max="14343" width="11" style="72" customWidth="1"/>
    <col min="14344" max="14592" width="9.140625" style="72"/>
    <col min="14593" max="14593" width="36.28515625" style="72" customWidth="1"/>
    <col min="14594" max="14594" width="15.28515625" style="72" bestFit="1" customWidth="1"/>
    <col min="14595" max="14595" width="14.5703125" style="72" customWidth="1"/>
    <col min="14596" max="14596" width="15.42578125" style="72" customWidth="1"/>
    <col min="14597" max="14597" width="18.42578125" style="72" bestFit="1" customWidth="1"/>
    <col min="14598" max="14598" width="9" style="72" bestFit="1" customWidth="1"/>
    <col min="14599" max="14599" width="11" style="72" customWidth="1"/>
    <col min="14600" max="14848" width="9.140625" style="72"/>
    <col min="14849" max="14849" width="36.28515625" style="72" customWidth="1"/>
    <col min="14850" max="14850" width="15.28515625" style="72" bestFit="1" customWidth="1"/>
    <col min="14851" max="14851" width="14.5703125" style="72" customWidth="1"/>
    <col min="14852" max="14852" width="15.42578125" style="72" customWidth="1"/>
    <col min="14853" max="14853" width="18.42578125" style="72" bestFit="1" customWidth="1"/>
    <col min="14854" max="14854" width="9" style="72" bestFit="1" customWidth="1"/>
    <col min="14855" max="14855" width="11" style="72" customWidth="1"/>
    <col min="14856" max="15104" width="9.140625" style="72"/>
    <col min="15105" max="15105" width="36.28515625" style="72" customWidth="1"/>
    <col min="15106" max="15106" width="15.28515625" style="72" bestFit="1" customWidth="1"/>
    <col min="15107" max="15107" width="14.5703125" style="72" customWidth="1"/>
    <col min="15108" max="15108" width="15.42578125" style="72" customWidth="1"/>
    <col min="15109" max="15109" width="18.42578125" style="72" bestFit="1" customWidth="1"/>
    <col min="15110" max="15110" width="9" style="72" bestFit="1" customWidth="1"/>
    <col min="15111" max="15111" width="11" style="72" customWidth="1"/>
    <col min="15112" max="15360" width="9.140625" style="72"/>
    <col min="15361" max="15361" width="36.28515625" style="72" customWidth="1"/>
    <col min="15362" max="15362" width="15.28515625" style="72" bestFit="1" customWidth="1"/>
    <col min="15363" max="15363" width="14.5703125" style="72" customWidth="1"/>
    <col min="15364" max="15364" width="15.42578125" style="72" customWidth="1"/>
    <col min="15365" max="15365" width="18.42578125" style="72" bestFit="1" customWidth="1"/>
    <col min="15366" max="15366" width="9" style="72" bestFit="1" customWidth="1"/>
    <col min="15367" max="15367" width="11" style="72" customWidth="1"/>
    <col min="15368" max="15616" width="9.140625" style="72"/>
    <col min="15617" max="15617" width="36.28515625" style="72" customWidth="1"/>
    <col min="15618" max="15618" width="15.28515625" style="72" bestFit="1" customWidth="1"/>
    <col min="15619" max="15619" width="14.5703125" style="72" customWidth="1"/>
    <col min="15620" max="15620" width="15.42578125" style="72" customWidth="1"/>
    <col min="15621" max="15621" width="18.42578125" style="72" bestFit="1" customWidth="1"/>
    <col min="15622" max="15622" width="9" style="72" bestFit="1" customWidth="1"/>
    <col min="15623" max="15623" width="11" style="72" customWidth="1"/>
    <col min="15624" max="15872" width="9.140625" style="72"/>
    <col min="15873" max="15873" width="36.28515625" style="72" customWidth="1"/>
    <col min="15874" max="15874" width="15.28515625" style="72" bestFit="1" customWidth="1"/>
    <col min="15875" max="15875" width="14.5703125" style="72" customWidth="1"/>
    <col min="15876" max="15876" width="15.42578125" style="72" customWidth="1"/>
    <col min="15877" max="15877" width="18.42578125" style="72" bestFit="1" customWidth="1"/>
    <col min="15878" max="15878" width="9" style="72" bestFit="1" customWidth="1"/>
    <col min="15879" max="15879" width="11" style="72" customWidth="1"/>
    <col min="15880" max="16128" width="9.140625" style="72"/>
    <col min="16129" max="16129" width="36.28515625" style="72" customWidth="1"/>
    <col min="16130" max="16130" width="15.28515625" style="72" bestFit="1" customWidth="1"/>
    <col min="16131" max="16131" width="14.5703125" style="72" customWidth="1"/>
    <col min="16132" max="16132" width="15.42578125" style="72" customWidth="1"/>
    <col min="16133" max="16133" width="18.42578125" style="72" bestFit="1" customWidth="1"/>
    <col min="16134" max="16134" width="9" style="72" bestFit="1" customWidth="1"/>
    <col min="16135" max="16135" width="11" style="72" customWidth="1"/>
    <col min="16136" max="16384" width="9.140625" style="72"/>
  </cols>
  <sheetData>
    <row r="1" spans="1:11" s="63" customFormat="1" ht="56.25" customHeight="1" x14ac:dyDescent="0.25">
      <c r="A1" s="438"/>
      <c r="B1" s="438"/>
      <c r="C1" s="438"/>
      <c r="D1" s="438"/>
      <c r="E1" s="438"/>
    </row>
    <row r="2" spans="1:11" s="63" customFormat="1" ht="15.75" x14ac:dyDescent="0.25">
      <c r="A2" s="64"/>
      <c r="B2" s="64"/>
      <c r="C2" s="64"/>
      <c r="D2" s="64"/>
      <c r="E2" s="64"/>
    </row>
    <row r="3" spans="1:11" s="65" customFormat="1" ht="15.75" x14ac:dyDescent="0.25">
      <c r="A3" s="439" t="s">
        <v>734</v>
      </c>
      <c r="B3" s="439"/>
      <c r="C3" s="439"/>
      <c r="D3" s="439"/>
      <c r="E3" s="439"/>
    </row>
    <row r="4" spans="1:11" s="65" customFormat="1" ht="9" customHeight="1" x14ac:dyDescent="0.25">
      <c r="A4" s="66"/>
      <c r="B4" s="66"/>
      <c r="C4" s="66"/>
      <c r="D4" s="66"/>
      <c r="E4" s="66"/>
    </row>
    <row r="5" spans="1:11" s="69" customFormat="1" ht="15.75" customHeight="1" x14ac:dyDescent="0.25">
      <c r="A5" s="67" t="s">
        <v>735</v>
      </c>
      <c r="B5" s="440"/>
      <c r="C5" s="440"/>
      <c r="D5" s="440"/>
      <c r="E5" s="440"/>
      <c r="F5" s="68"/>
      <c r="G5" s="68"/>
      <c r="H5" s="68"/>
      <c r="I5" s="68"/>
      <c r="J5" s="68"/>
      <c r="K5" s="68"/>
    </row>
    <row r="6" spans="1:11" s="69" customFormat="1" ht="15.75" customHeight="1" x14ac:dyDescent="0.25">
      <c r="A6" s="67" t="s">
        <v>736</v>
      </c>
      <c r="B6" s="440"/>
      <c r="C6" s="440"/>
      <c r="D6" s="440"/>
      <c r="E6" s="440"/>
      <c r="F6" s="68"/>
      <c r="G6" s="68"/>
      <c r="H6" s="68"/>
      <c r="I6" s="68"/>
      <c r="J6" s="68"/>
      <c r="K6" s="68"/>
    </row>
    <row r="7" spans="1:11" s="69" customFormat="1" ht="76.5" customHeight="1" x14ac:dyDescent="0.25">
      <c r="A7" s="67" t="s">
        <v>737</v>
      </c>
      <c r="B7" s="440" t="s">
        <v>738</v>
      </c>
      <c r="C7" s="440"/>
      <c r="D7" s="440"/>
      <c r="E7" s="440"/>
      <c r="F7" s="68"/>
      <c r="G7" s="68"/>
      <c r="H7" s="68"/>
      <c r="I7" s="68"/>
      <c r="J7" s="68"/>
      <c r="K7" s="68"/>
    </row>
    <row r="8" spans="1:11" s="69" customFormat="1" ht="33" customHeight="1" x14ac:dyDescent="0.25">
      <c r="A8" s="67" t="s">
        <v>739</v>
      </c>
      <c r="B8" s="440" t="s">
        <v>791</v>
      </c>
      <c r="C8" s="440"/>
      <c r="D8" s="440"/>
      <c r="E8" s="440"/>
      <c r="F8" s="68" t="str">
        <f>IF(B8&lt;&gt;"","OK","PREENCHER")</f>
        <v>OK</v>
      </c>
      <c r="G8" s="68"/>
      <c r="H8" s="68"/>
      <c r="I8" s="68"/>
      <c r="J8" s="68"/>
      <c r="K8" s="68"/>
    </row>
    <row r="9" spans="1:11" s="69" customFormat="1" ht="33" customHeight="1" x14ac:dyDescent="0.25">
      <c r="A9" s="67" t="s">
        <v>741</v>
      </c>
      <c r="B9" s="441">
        <v>1</v>
      </c>
      <c r="C9" s="441"/>
      <c r="D9" s="441"/>
      <c r="E9" s="441"/>
      <c r="F9" s="68" t="str">
        <f>IF(B9&lt;&gt;"","OK","PREENCHER")</f>
        <v>OK</v>
      </c>
      <c r="G9" s="70"/>
      <c r="H9" s="68"/>
      <c r="I9" s="68"/>
      <c r="J9" s="68"/>
      <c r="K9" s="68"/>
    </row>
    <row r="10" spans="1:11" s="69" customFormat="1" ht="19.5" customHeight="1" x14ac:dyDescent="0.25">
      <c r="A10" s="67" t="s">
        <v>742</v>
      </c>
      <c r="B10" s="440" t="s">
        <v>743</v>
      </c>
      <c r="C10" s="440"/>
      <c r="D10" s="440"/>
      <c r="E10" s="440"/>
      <c r="F10" s="68" t="str">
        <f>IF(B10&lt;&gt;"","OK","PREENCHER")</f>
        <v>OK</v>
      </c>
      <c r="G10" s="68"/>
      <c r="H10" s="68"/>
      <c r="I10" s="68"/>
      <c r="J10" s="68"/>
      <c r="K10" s="68"/>
    </row>
    <row r="11" spans="1:11" s="69" customFormat="1" ht="9" thickBot="1" x14ac:dyDescent="0.3">
      <c r="F11" s="68"/>
      <c r="G11" s="68"/>
      <c r="H11" s="68"/>
      <c r="I11" s="68"/>
      <c r="J11" s="68"/>
      <c r="K11" s="68"/>
    </row>
    <row r="12" spans="1:11" ht="19.5" customHeight="1" x14ac:dyDescent="0.25">
      <c r="A12" s="442" t="s">
        <v>744</v>
      </c>
      <c r="B12" s="444" t="s">
        <v>745</v>
      </c>
      <c r="C12" s="445"/>
      <c r="D12" s="446"/>
      <c r="E12" s="447" t="s">
        <v>746</v>
      </c>
      <c r="F12" s="71"/>
      <c r="G12" s="71"/>
      <c r="H12" s="71"/>
      <c r="I12" s="71"/>
      <c r="J12" s="71"/>
      <c r="K12" s="71"/>
    </row>
    <row r="13" spans="1:11" ht="36" customHeight="1" thickBot="1" x14ac:dyDescent="0.3">
      <c r="A13" s="443"/>
      <c r="B13" s="73" t="s">
        <v>747</v>
      </c>
      <c r="C13" s="73" t="s">
        <v>748</v>
      </c>
      <c r="D13" s="74" t="s">
        <v>749</v>
      </c>
      <c r="E13" s="448"/>
      <c r="F13" s="71"/>
      <c r="G13" s="75"/>
      <c r="H13" s="75"/>
      <c r="I13" s="75"/>
      <c r="J13" s="71"/>
      <c r="K13" s="71"/>
    </row>
    <row r="14" spans="1:11" ht="15.75" x14ac:dyDescent="0.25">
      <c r="A14" s="76" t="s">
        <v>750</v>
      </c>
      <c r="B14" s="77">
        <f>IF(ISERROR(VLOOKUP($B$8,'[1]Base dados - TCU 2622_2013'!$A$7:$V$14,2,)),"",VLOOKUP($B$8,'[1]Base dados - TCU 2622_2013'!$A$7:$V$14,2,))</f>
        <v>3</v>
      </c>
      <c r="C14" s="77">
        <f>IF(ISERROR(VLOOKUP($B$8,'[1]Base dados - TCU 2622_2013'!$A$7:$V$14,3,)),"",VLOOKUP($B$8,'[1]Base dados - TCU 2622_2013'!$A$7:$V$14,3,))</f>
        <v>4</v>
      </c>
      <c r="D14" s="77">
        <f>IF(ISERROR(VLOOKUP($B$8,'[1]Base dados - TCU 2622_2013'!$A$7:$V$14,4,)),"",VLOOKUP($B$8,'[1]Base dados - TCU 2622_2013'!$A$7:$V$14,4,))</f>
        <v>5.5</v>
      </c>
      <c r="E14" s="78">
        <v>3</v>
      </c>
      <c r="F14" s="68" t="str">
        <f>IF(AND(E14&gt;=B14,E14&lt;=D14),"OK","PREENCHER")</f>
        <v>OK</v>
      </c>
      <c r="G14" s="79"/>
      <c r="H14" s="75"/>
      <c r="I14" s="75"/>
      <c r="J14" s="71"/>
      <c r="K14" s="71"/>
    </row>
    <row r="15" spans="1:11" ht="15.75" x14ac:dyDescent="0.25">
      <c r="A15" s="80" t="s">
        <v>751</v>
      </c>
      <c r="B15" s="77">
        <f>IF(ISERROR(VLOOKUP($B$8,'[1]Base dados - TCU 2622_2013'!$A$7:$V$14,5,)),"",VLOOKUP($B$8,'[1]Base dados - TCU 2622_2013'!$A$7:$V$14,5,))</f>
        <v>0.8</v>
      </c>
      <c r="C15" s="77">
        <f>IF(ISERROR(VLOOKUP($B$8,'[1]Base dados - TCU 2622_2013'!$A$7:$V$14,6,)),"",VLOOKUP($B$8,'[1]Base dados - TCU 2622_2013'!$A$7:$V$14,6,))</f>
        <v>0.8</v>
      </c>
      <c r="D15" s="77">
        <f>IF(ISERROR(VLOOKUP($B$8,'[1]Base dados - TCU 2622_2013'!$A$7:$V$14,7,)),"",VLOOKUP($B$8,'[1]Base dados - TCU 2622_2013'!$A$7:$V$14,7,))</f>
        <v>1</v>
      </c>
      <c r="E15" s="81">
        <v>0.8</v>
      </c>
      <c r="F15" s="68" t="str">
        <f t="shared" ref="F15:F22" si="0">IF(AND(E15&gt;=B15,E15&lt;=D15),"OK","PREENCHER")</f>
        <v>OK</v>
      </c>
      <c r="G15" s="82"/>
      <c r="H15" s="75"/>
      <c r="I15" s="75"/>
      <c r="J15" s="71"/>
      <c r="K15" s="71"/>
    </row>
    <row r="16" spans="1:11" ht="15.75" x14ac:dyDescent="0.25">
      <c r="A16" s="80" t="s">
        <v>752</v>
      </c>
      <c r="B16" s="77">
        <f>IF(ISERROR(VLOOKUP($B$8,'[1]Base dados - TCU 2622_2013'!$A$7:$V$14,8,)),"",VLOOKUP($B$8,'[1]Base dados - TCU 2622_2013'!$A$7:$V$14,8,))</f>
        <v>0.97</v>
      </c>
      <c r="C16" s="77">
        <f>IF(ISERROR(VLOOKUP($B$8,'[1]Base dados - TCU 2622_2013'!$A$7:$V$14,6,)),"",VLOOKUP($B$8,'[1]Base dados - TCU 2622_2013'!$A$7:$V$14,9,))</f>
        <v>1.27</v>
      </c>
      <c r="D16" s="77">
        <f>IF(ISERROR(VLOOKUP($B$8,'[1]Base dados - TCU 2622_2013'!$A$7:$V$14,7,)),"",VLOOKUP($B$8,'[1]Base dados - TCU 2622_2013'!$A$7:$V$14,10,))</f>
        <v>1.27</v>
      </c>
      <c r="E16" s="81">
        <v>0.97</v>
      </c>
      <c r="F16" s="68" t="str">
        <f t="shared" si="0"/>
        <v>OK</v>
      </c>
      <c r="G16" s="82"/>
      <c r="H16" s="75"/>
      <c r="I16" s="75"/>
      <c r="J16" s="71"/>
      <c r="K16" s="71"/>
    </row>
    <row r="17" spans="1:13" ht="15.75" x14ac:dyDescent="0.25">
      <c r="A17" s="76" t="s">
        <v>753</v>
      </c>
      <c r="B17" s="77">
        <f>IF(ISERROR(VLOOKUP($B$8,'[1]Base dados - TCU 2622_2013'!$A$7:$V$14,11,)),"",VLOOKUP($B$8,'[1]Base dados - TCU 2622_2013'!$A$7:$V$14,11,))</f>
        <v>0.59</v>
      </c>
      <c r="C17" s="77">
        <f>IF(ISERROR(VLOOKUP($B$8,'[1]Base dados - TCU 2622_2013'!$A$7:$V$14,12,)),"",VLOOKUP($B$8,'[1]Base dados - TCU 2622_2013'!$A$7:$V$14,12,))</f>
        <v>1.23</v>
      </c>
      <c r="D17" s="77">
        <f>IF(ISERROR(VLOOKUP($B$8,'[1]Base dados - TCU 2622_2013'!$A$7:$V$14,13,)),"",VLOOKUP($B$8,'[1]Base dados - TCU 2622_2013'!$A$7:$V$14,13,))</f>
        <v>1.39</v>
      </c>
      <c r="E17" s="81">
        <v>0.59</v>
      </c>
      <c r="F17" s="68" t="str">
        <f t="shared" si="0"/>
        <v>OK</v>
      </c>
      <c r="G17" s="82"/>
      <c r="H17" s="75"/>
      <c r="I17" s="75"/>
      <c r="J17" s="71"/>
      <c r="K17" s="71"/>
    </row>
    <row r="18" spans="1:13" ht="15.75" x14ac:dyDescent="0.25">
      <c r="A18" s="76" t="s">
        <v>754</v>
      </c>
      <c r="B18" s="77">
        <f>IF(ISERROR(VLOOKUP($B$8,'[1]Base dados - TCU 2622_2013'!$A$7:$V$14,14,)),"",VLOOKUP($B$8,'[1]Base dados - TCU 2622_2013'!$A$7:$V$14,14,))</f>
        <v>6.16</v>
      </c>
      <c r="C18" s="77">
        <f>IF(ISERROR(VLOOKUP($B$8,'[1]Base dados - TCU 2622_2013'!$A$7:$V$14,15,)),"",VLOOKUP($B$8,'[1]Base dados - TCU 2622_2013'!$A$7:$V$14,15,))</f>
        <v>7.4</v>
      </c>
      <c r="D18" s="77">
        <f>IF(ISERROR(VLOOKUP($B$8,'[1]Base dados - TCU 2622_2013'!$A$7:$V$14,16,)),"",VLOOKUP($B$8,'[1]Base dados - TCU 2622_2013'!$A$7:$V$14,16,))</f>
        <v>8.9600000000000009</v>
      </c>
      <c r="E18" s="81">
        <v>6.16</v>
      </c>
      <c r="F18" s="68" t="str">
        <f t="shared" si="0"/>
        <v>OK</v>
      </c>
      <c r="G18" s="82"/>
      <c r="H18" s="75"/>
      <c r="I18" s="75"/>
      <c r="J18" s="71"/>
      <c r="K18" s="71"/>
    </row>
    <row r="19" spans="1:13" ht="15.75" x14ac:dyDescent="0.25">
      <c r="A19" s="76" t="s">
        <v>755</v>
      </c>
      <c r="B19" s="77">
        <f>IF(ISERROR(VLOOKUP($B$8,'[1]Base dados - TCU 2622_2013'!$A$7:$V$14,17,)),"",VLOOKUP($B$8,'[1]Base dados - TCU 2622_2013'!$A$7:$V$14,17,))</f>
        <v>3</v>
      </c>
      <c r="C19" s="77">
        <f>IF(ISERROR(VLOOKUP($B$8,'[1]Base dados - TCU 2622_2013'!$A$7:$V$14,17,)),"",VLOOKUP($B$8,'[1]Base dados - TCU 2622_2013'!$A$7:$V$14,17,))</f>
        <v>3</v>
      </c>
      <c r="D19" s="77">
        <f>IF(ISERROR(VLOOKUP($B$8,'[1]Base dados - TCU 2622_2013'!$A$7:$V$14,17,)),"",VLOOKUP($B$8,'[1]Base dados - TCU 2622_2013'!$A$7:$V$14,17,))</f>
        <v>3</v>
      </c>
      <c r="E19" s="81">
        <v>3</v>
      </c>
      <c r="F19" s="68" t="str">
        <f t="shared" si="0"/>
        <v>OK</v>
      </c>
      <c r="G19" s="75"/>
      <c r="H19" s="75"/>
      <c r="I19" s="75"/>
      <c r="J19" s="71"/>
      <c r="K19" s="71"/>
    </row>
    <row r="20" spans="1:13" ht="15.75" x14ac:dyDescent="0.25">
      <c r="A20" s="76" t="s">
        <v>756</v>
      </c>
      <c r="B20" s="77">
        <f>IF(ISERROR(VLOOKUP($B$8,'[1]Base dados - TCU 2622_2013'!$A$7:$V$14,18,)),"",VLOOKUP($B$8,'[1]Base dados - TCU 2622_2013'!$A$7:$V$14,18,))</f>
        <v>0.65</v>
      </c>
      <c r="C20" s="77">
        <f>IF(ISERROR(VLOOKUP($B$8,'[1]Base dados - TCU 2622_2013'!$A$7:$V$14,18,)),"",VLOOKUP($B$8,'[1]Base dados - TCU 2622_2013'!$A$7:$V$14,18,))</f>
        <v>0.65</v>
      </c>
      <c r="D20" s="77">
        <f>IF(ISERROR(VLOOKUP($B$8,'[1]Base dados - TCU 2622_2013'!$A$7:$V$14,18,)),"",VLOOKUP($B$8,'[1]Base dados - TCU 2622_2013'!$A$7:$V$14,18,))</f>
        <v>0.65</v>
      </c>
      <c r="E20" s="81">
        <v>0.65</v>
      </c>
      <c r="F20" s="68" t="str">
        <f t="shared" si="0"/>
        <v>OK</v>
      </c>
      <c r="G20" s="75"/>
      <c r="H20" s="75"/>
      <c r="I20" s="75"/>
      <c r="J20" s="71"/>
      <c r="K20" s="71"/>
    </row>
    <row r="21" spans="1:13" ht="15.75" x14ac:dyDescent="0.25">
      <c r="A21" s="76" t="s">
        <v>757</v>
      </c>
      <c r="B21" s="77">
        <f>IF(ISERROR(VLOOKUP($B$8,'[1]Base dados - TCU 2622_2013'!$A$7:$V$14,19,)),"",VLOOKUP($B$8,'[1]Base dados - TCU 2622_2013'!$A$7:$V$14,19,))</f>
        <v>2</v>
      </c>
      <c r="C21" s="77">
        <f>IF(ISERROR(VLOOKUP($B$8,'[1]Base dados - TCU 2622_2013'!$A$7:$V$14,20,)),"",VLOOKUP($B$8,'[1]Base dados - TCU 2622_2013'!$A$7:$V$14,20,))</f>
        <v>3.5</v>
      </c>
      <c r="D21" s="77">
        <f>IF(ISERROR(VLOOKUP($B$8,'[1]Base dados - TCU 2622_2013'!$A$7:$V$14,21,)),"",VLOOKUP($B$8,'[1]Base dados - TCU 2622_2013'!$A$7:$V$14,21,))</f>
        <v>5</v>
      </c>
      <c r="E21" s="81">
        <v>5</v>
      </c>
      <c r="F21" s="68" t="str">
        <f t="shared" si="0"/>
        <v>OK</v>
      </c>
      <c r="G21" s="83"/>
      <c r="H21" s="84"/>
      <c r="I21" s="84"/>
      <c r="J21" s="84"/>
      <c r="K21" s="71"/>
    </row>
    <row r="22" spans="1:13" ht="30" customHeight="1" thickBot="1" x14ac:dyDescent="0.3">
      <c r="A22" s="76" t="str">
        <f>IF(B10="sim","CPRB - Alíquota 4,5% Receita Bruta (Desoneração)","")</f>
        <v>CPRB - Alíquota 4,5% Receita Bruta (Desoneração)</v>
      </c>
      <c r="B22" s="77">
        <f>IF($A$22="CPRB - Alíquota 4,5% Receita Bruta (Desoneração)",4.5,IF($B$10="","Preencher cabeçalho",0))</f>
        <v>4.5</v>
      </c>
      <c r="C22" s="77">
        <f>IF($A$22="CPRB - Alíquota 4,5% Receita Bruta (Desoneração)",4.5,IF($B$10="","Preencher cabeçalho",0))</f>
        <v>4.5</v>
      </c>
      <c r="D22" s="85">
        <f>IF($A$22="CPRB - Alíquota 4,5% Receita Bruta (Desoneração)",4.5,IF($B$10="","Preencher cabeçalho",0))</f>
        <v>4.5</v>
      </c>
      <c r="E22" s="86">
        <f>IF(B10="SIM",4.5,0)</f>
        <v>4.5</v>
      </c>
      <c r="F22" s="68" t="str">
        <f t="shared" si="0"/>
        <v>OK</v>
      </c>
      <c r="G22" s="84"/>
      <c r="H22" s="84"/>
      <c r="I22" s="84"/>
      <c r="J22" s="84"/>
      <c r="K22" s="71"/>
    </row>
    <row r="23" spans="1:13" ht="48" customHeight="1" thickBot="1" x14ac:dyDescent="0.3">
      <c r="A23" s="87" t="s">
        <v>758</v>
      </c>
      <c r="B23" s="88">
        <f>IF($B$10="SIM",E28,"")</f>
        <v>26.575233160621757</v>
      </c>
      <c r="C23" s="88">
        <f>IF($B$10="SIM",J27,"")</f>
        <v>28.447461139896379</v>
      </c>
      <c r="D23" s="88">
        <f>IF($B$10="SIM",L27,"")</f>
        <v>31.476683937823836</v>
      </c>
      <c r="E23" s="89">
        <f>IF(B10="SIM",IF(G23&lt;12,"PREENCHER CÉLULAS RESTANTES",((((1+E14/100+E15/100+E16/100)*(1+E17/100)*(1+E18/100))/(1-((E19+E20+E21*$B$9+E22)/100))-1)*100)),"")</f>
        <v>28.819864834542329</v>
      </c>
      <c r="F23" s="71"/>
      <c r="G23" s="90">
        <f>COUNTIF(F8:F22,"OK")</f>
        <v>12</v>
      </c>
      <c r="I23" s="91"/>
      <c r="J23" s="71"/>
      <c r="K23" s="71"/>
    </row>
    <row r="24" spans="1:13" s="69" customFormat="1" ht="48.75" customHeight="1" thickBot="1" x14ac:dyDescent="0.3">
      <c r="A24" s="87" t="s">
        <v>759</v>
      </c>
      <c r="B24" s="88">
        <f>IF(B8&lt;&gt;"",VLOOKUP($B$8,'[1]Base dados - TCU 2622_2013'!$A$7:$Y$14,23,),"")</f>
        <v>20.34</v>
      </c>
      <c r="C24" s="88">
        <f>IF(B8&lt;&gt;"",VLOOKUP($B$8,'[1]Base dados - TCU 2622_2013'!$A$7:$Y$14,24,),"")</f>
        <v>22.12</v>
      </c>
      <c r="D24" s="88">
        <f>IF(B8&lt;&gt;"",VLOOKUP($B$8,'[1]Base dados - TCU 2622_2013'!$A$7:$Y$14,25,),"")</f>
        <v>25</v>
      </c>
      <c r="E24" s="89" t="str">
        <f>IF(B10="NÃO",IF(G23&lt;12,"PREENCHER CÉLULAS RESTANTES",((((1+E14/100+E15/100+E16/100)*(1+E17/100)*(1+E18/100))/(1-((E19+E20+E21*$B$9)/100))-1)*100)),"")</f>
        <v/>
      </c>
      <c r="F24" s="68" t="str">
        <f>IF(E26="ERRADO","BDI EXTRAPOLA A MAIS OU A MENOS OS LIMITES DO BDI ESTABELECIDOS PELO TCYU ACÓRDÃO 2622/2013","")</f>
        <v/>
      </c>
      <c r="G24" s="92"/>
      <c r="H24" s="92"/>
      <c r="I24" s="93"/>
      <c r="J24" s="68"/>
      <c r="K24" s="68"/>
    </row>
    <row r="25" spans="1:13" s="69" customFormat="1" ht="16.5" thickBot="1" x14ac:dyDescent="0.3">
      <c r="A25" s="94" t="s">
        <v>760</v>
      </c>
      <c r="F25" s="68"/>
      <c r="H25" s="93"/>
      <c r="I25" s="93"/>
      <c r="J25" s="68"/>
      <c r="K25" s="68"/>
    </row>
    <row r="26" spans="1:13" s="69" customFormat="1" ht="15.75" customHeight="1" thickBot="1" x14ac:dyDescent="0.3">
      <c r="A26" s="94" t="s">
        <v>761</v>
      </c>
      <c r="D26" s="95" t="s">
        <v>762</v>
      </c>
      <c r="E26" s="96" t="str">
        <f>IF(B10="NÃO",(IF(E24&gt;D24,"INADEQUADO",IF(E24&lt;B24,"INADEQUADO","OK"))),IF(B10="SIM",(IF(E23&gt;D23,"INADEQUADO",IF(E23&lt;B23,"INADEQUADO","OK"))),""))</f>
        <v>OK</v>
      </c>
      <c r="F26" s="97" t="s">
        <v>763</v>
      </c>
      <c r="G26" s="93"/>
      <c r="H26" s="93"/>
      <c r="I26" s="93"/>
      <c r="J26" s="68"/>
      <c r="K26" s="68"/>
    </row>
    <row r="27" spans="1:13" x14ac:dyDescent="0.25">
      <c r="D27" s="98" t="str">
        <f>IF(B10="SIM","BDI s/ desoneração:","")</f>
        <v>BDI s/ desoneração:</v>
      </c>
      <c r="E27" s="99">
        <f>IF(B10="SIM",((((1+E14/100+E15/100+E16/100)*(1+E17/100)*(1+E18/100))/(1-((E19+E20+E21*$B$9)/100))-1)*100),"")</f>
        <v>22.474058685057496</v>
      </c>
      <c r="F27" s="97" t="s">
        <v>764</v>
      </c>
      <c r="G27" s="91"/>
      <c r="I27" s="90">
        <f>VLOOKUP($B$8,'[1]Base dados - TCU 2622_2013'!$A$7:$Y$14,23,)</f>
        <v>20.34</v>
      </c>
      <c r="J27" s="90">
        <f>((1+K27/100)*(((0.045/(0.9185-$E$21/100*$B$9))+1))-1)*100</f>
        <v>28.447461139896379</v>
      </c>
      <c r="K27" s="90">
        <f>VLOOKUP($B$8,'[1]Base dados - TCU 2622_2013'!$A$7:$Y$14,24,)</f>
        <v>22.12</v>
      </c>
      <c r="L27" s="90">
        <f>((1+M27/100)*(((0.045/(0.9185-$E$21/100*$B$9))+1))-1)*100</f>
        <v>31.476683937823836</v>
      </c>
      <c r="M27" s="90">
        <f>VLOOKUP($B$8,'[1]Base dados - TCU 2622_2013'!$A$7:$Y$14,25,)</f>
        <v>25</v>
      </c>
    </row>
    <row r="28" spans="1:13" ht="15.75" x14ac:dyDescent="0.25">
      <c r="A28" s="437" t="s">
        <v>765</v>
      </c>
      <c r="B28" s="437"/>
      <c r="C28" s="437"/>
      <c r="D28" s="437"/>
      <c r="E28" s="100">
        <f>((1+I27/100)*(((0.045/(0.9185-$E$21/100*$B$9))+1))-1)*100</f>
        <v>26.575233160621757</v>
      </c>
      <c r="F28" s="93"/>
      <c r="G28" s="71"/>
      <c r="I28" s="90"/>
      <c r="J28" s="90">
        <f>((1+K27/100)*(0.9635-$E$21*$B$9/100)/(0.9435-$E$22*$B$9/100)-1)*100</f>
        <v>24.158731218697827</v>
      </c>
      <c r="K28" s="90"/>
      <c r="L28" s="90">
        <f>((1+M27/100)*(0.9635-$E$21*$B$9/100)/(0.9435-$E$22*$B$9/100)-1)*100</f>
        <v>27.086811352253747</v>
      </c>
      <c r="M28" s="90"/>
    </row>
    <row r="29" spans="1:13" x14ac:dyDescent="0.25">
      <c r="E29" s="100">
        <f>((1+I27/100)*(0.9635-$E$21*$B$9/100)/(0.9185-$E$22*$B$9/100)-1)*100</f>
        <v>25.850704064109919</v>
      </c>
      <c r="F29" s="93"/>
      <c r="G29" s="71"/>
      <c r="H29" s="71"/>
      <c r="I29" s="71"/>
      <c r="J29" s="71"/>
      <c r="K29" s="71"/>
      <c r="L29" s="71"/>
    </row>
    <row r="30" spans="1:13" x14ac:dyDescent="0.25">
      <c r="F30" s="71"/>
    </row>
    <row r="31" spans="1:13" x14ac:dyDescent="0.25">
      <c r="F31" s="71"/>
    </row>
    <row r="32" spans="1:13" x14ac:dyDescent="0.25">
      <c r="F32" s="71"/>
    </row>
    <row r="33" spans="1:11" ht="15" x14ac:dyDescent="0.25">
      <c r="A33" s="101" t="s">
        <v>766</v>
      </c>
      <c r="F33" s="71"/>
      <c r="G33" s="71"/>
      <c r="H33" s="71"/>
      <c r="I33" s="71"/>
      <c r="J33" s="71"/>
      <c r="K33" s="71"/>
    </row>
    <row r="34" spans="1:11" ht="15" x14ac:dyDescent="0.25">
      <c r="A34" s="450" t="s">
        <v>767</v>
      </c>
      <c r="B34" s="450"/>
      <c r="C34" s="450"/>
      <c r="D34" s="450"/>
      <c r="F34" s="71"/>
      <c r="G34" s="71"/>
      <c r="H34" s="71"/>
      <c r="I34" s="71"/>
      <c r="J34" s="71"/>
      <c r="K34" s="71"/>
    </row>
    <row r="35" spans="1:11" ht="15" x14ac:dyDescent="0.25">
      <c r="A35" s="450" t="s">
        <v>768</v>
      </c>
      <c r="B35" s="450"/>
      <c r="C35" s="450"/>
      <c r="D35" s="450"/>
      <c r="F35" s="71"/>
      <c r="G35" s="71"/>
      <c r="H35" s="71"/>
      <c r="I35" s="71"/>
      <c r="J35" s="71"/>
      <c r="K35" s="71"/>
    </row>
    <row r="36" spans="1:11" ht="15" x14ac:dyDescent="0.25">
      <c r="A36" s="450" t="s">
        <v>769</v>
      </c>
      <c r="B36" s="450"/>
      <c r="C36" s="450"/>
      <c r="D36" s="450"/>
      <c r="F36" s="71"/>
      <c r="G36" s="71"/>
      <c r="H36" s="71"/>
      <c r="I36" s="71"/>
      <c r="J36" s="71"/>
      <c r="K36" s="71"/>
    </row>
    <row r="37" spans="1:11" ht="15" x14ac:dyDescent="0.25">
      <c r="A37" s="450" t="s">
        <v>770</v>
      </c>
      <c r="B37" s="450"/>
      <c r="C37" s="450"/>
      <c r="D37" s="450"/>
      <c r="E37" s="450"/>
      <c r="F37" s="71"/>
      <c r="H37" s="71"/>
      <c r="I37" s="71"/>
      <c r="J37" s="71"/>
      <c r="K37" s="71"/>
    </row>
    <row r="38" spans="1:11" ht="15" x14ac:dyDescent="0.25">
      <c r="A38" s="450" t="s">
        <v>771</v>
      </c>
      <c r="B38" s="450"/>
      <c r="C38" s="450"/>
      <c r="D38" s="450"/>
      <c r="F38" s="71"/>
      <c r="G38" s="71"/>
      <c r="H38" s="71"/>
      <c r="I38" s="71"/>
      <c r="J38" s="71"/>
      <c r="K38" s="71"/>
    </row>
    <row r="39" spans="1:11" ht="15" x14ac:dyDescent="0.25">
      <c r="A39" s="102"/>
      <c r="B39" s="102"/>
      <c r="C39" s="102"/>
      <c r="D39" s="102"/>
      <c r="F39" s="71"/>
      <c r="G39" s="71"/>
      <c r="H39" s="71"/>
      <c r="I39" s="71"/>
      <c r="J39" s="71"/>
      <c r="K39" s="71"/>
    </row>
    <row r="40" spans="1:11" ht="68.25" customHeight="1" x14ac:dyDescent="0.25">
      <c r="A40" s="451" t="str">
        <f>CONCATENATE("Declaro para os devidos fins que, conforme legislação tributária municipal, a base de cálculo do ISS para ",B8," é de ",B9*100,"%, com a respectiva alíquota de ",E21,"%. Declaramos ainda que adotamos orçamento ",IF(B10="SIM","Com Desoneração",IF(B10="NÃO","Sem Desoneração",""))," e que esta é a alternativa mais adequada para a Administração Pública.")</f>
        <v>Declaro para os devidos fins que, conforme legislação tributária municipal, a base de cálculo do ISS para Construção de Edifícios e Reformas (Quadras, unidades habitacionais, escolas, restaurantes, etc) é de 100%, com a respectiva alíquota de 5%. Declaramos ainda que adotamos orçamento Com Desoneração e que esta é a alternativa mais adequada para a Administração Pública.</v>
      </c>
      <c r="B40" s="452"/>
      <c r="C40" s="452"/>
      <c r="D40" s="452"/>
      <c r="E40" s="453"/>
      <c r="F40" s="71"/>
      <c r="G40" s="71"/>
      <c r="H40" s="71"/>
      <c r="I40" s="71"/>
      <c r="J40" s="71"/>
      <c r="K40" s="71"/>
    </row>
    <row r="41" spans="1:11" ht="15" x14ac:dyDescent="0.25">
      <c r="A41" s="102"/>
      <c r="B41" s="102"/>
      <c r="C41" s="102"/>
      <c r="D41" s="102"/>
      <c r="F41" s="71"/>
      <c r="G41" s="71"/>
      <c r="H41" s="71"/>
      <c r="I41" s="71"/>
      <c r="J41" s="71"/>
      <c r="K41" s="71"/>
    </row>
    <row r="42" spans="1:11" ht="15" x14ac:dyDescent="0.25">
      <c r="A42" s="103"/>
      <c r="B42" s="102"/>
      <c r="C42" s="102"/>
      <c r="D42" s="102"/>
      <c r="F42" s="71"/>
      <c r="G42" s="71"/>
      <c r="H42" s="71"/>
      <c r="I42" s="71"/>
      <c r="J42" s="71"/>
      <c r="K42" s="71"/>
    </row>
    <row r="43" spans="1:11" ht="15" x14ac:dyDescent="0.25">
      <c r="A43" s="102"/>
      <c r="B43" s="102"/>
      <c r="C43" s="102"/>
      <c r="D43" s="102"/>
      <c r="F43" s="71"/>
      <c r="G43" s="71"/>
      <c r="H43" s="71"/>
      <c r="I43" s="71"/>
      <c r="J43" s="71"/>
      <c r="K43" s="71"/>
    </row>
    <row r="44" spans="1:11" ht="15" x14ac:dyDescent="0.25">
      <c r="A44" s="104"/>
      <c r="B44" s="102"/>
      <c r="C44" s="454"/>
      <c r="D44" s="454"/>
      <c r="E44" s="454"/>
      <c r="F44" s="71"/>
      <c r="G44" s="71"/>
      <c r="H44" s="71"/>
      <c r="I44" s="71"/>
      <c r="J44" s="71"/>
      <c r="K44" s="71"/>
    </row>
    <row r="45" spans="1:11" ht="15" x14ac:dyDescent="0.25">
      <c r="A45" s="103" t="s">
        <v>772</v>
      </c>
      <c r="B45" s="102"/>
      <c r="C45" s="105" t="s">
        <v>773</v>
      </c>
      <c r="D45" s="455"/>
      <c r="E45" s="455"/>
      <c r="F45" s="71"/>
      <c r="G45" s="71"/>
      <c r="H45" s="71"/>
      <c r="I45" s="71"/>
      <c r="J45" s="71"/>
      <c r="K45" s="71"/>
    </row>
    <row r="46" spans="1:11" ht="15" x14ac:dyDescent="0.25">
      <c r="A46" s="103" t="s">
        <v>774</v>
      </c>
      <c r="B46" s="102"/>
      <c r="C46" s="106" t="s">
        <v>775</v>
      </c>
      <c r="D46" s="456"/>
      <c r="E46" s="456"/>
      <c r="F46" s="71"/>
      <c r="G46" s="71"/>
      <c r="H46" s="71"/>
      <c r="I46" s="71"/>
      <c r="J46" s="71"/>
      <c r="K46" s="71"/>
    </row>
    <row r="47" spans="1:11" ht="15" x14ac:dyDescent="0.25">
      <c r="A47" s="102"/>
      <c r="B47" s="102"/>
      <c r="C47" s="102"/>
      <c r="D47" s="102"/>
      <c r="F47" s="71"/>
      <c r="G47" s="71"/>
      <c r="H47" s="71"/>
      <c r="I47" s="71"/>
      <c r="J47" s="71"/>
      <c r="K47" s="71"/>
    </row>
    <row r="48" spans="1:11" x14ac:dyDescent="0.25">
      <c r="A48" s="107"/>
      <c r="B48" s="107"/>
      <c r="C48" s="107"/>
      <c r="D48" s="107"/>
      <c r="E48" s="107"/>
    </row>
    <row r="49" spans="1:5" ht="25.5" customHeight="1" x14ac:dyDescent="0.25">
      <c r="A49" s="457"/>
      <c r="B49" s="457"/>
      <c r="C49" s="457"/>
      <c r="D49" s="457"/>
      <c r="E49" s="457"/>
    </row>
    <row r="50" spans="1:5" ht="25.5" customHeight="1" x14ac:dyDescent="0.25">
      <c r="A50" s="108"/>
      <c r="B50" s="108"/>
      <c r="C50" s="108"/>
      <c r="D50" s="108"/>
      <c r="E50" s="108"/>
    </row>
    <row r="51" spans="1:5" ht="25.5" customHeight="1" x14ac:dyDescent="0.25">
      <c r="A51" s="457"/>
      <c r="B51" s="457"/>
      <c r="C51" s="457"/>
      <c r="D51" s="457"/>
      <c r="E51" s="457"/>
    </row>
    <row r="52" spans="1:5" s="110" customFormat="1" x14ac:dyDescent="0.25">
      <c r="A52" s="109"/>
      <c r="B52" s="109"/>
      <c r="C52" s="109"/>
      <c r="D52" s="109"/>
      <c r="E52" s="109"/>
    </row>
    <row r="53" spans="1:5" s="112" customFormat="1" ht="15.75" x14ac:dyDescent="0.25">
      <c r="A53" s="111"/>
      <c r="B53" s="109"/>
      <c r="C53" s="109"/>
      <c r="D53" s="109"/>
      <c r="E53" s="109"/>
    </row>
    <row r="54" spans="1:5" s="114" customFormat="1" ht="8.25" x14ac:dyDescent="0.25">
      <c r="A54" s="113"/>
      <c r="B54" s="113"/>
      <c r="C54" s="113"/>
      <c r="D54" s="113"/>
      <c r="E54" s="113"/>
    </row>
    <row r="55" spans="1:5" s="112" customFormat="1" ht="16.5" customHeight="1" x14ac:dyDescent="0.25">
      <c r="A55" s="449"/>
      <c r="B55" s="449"/>
      <c r="C55" s="449"/>
      <c r="D55" s="449"/>
      <c r="E55" s="115"/>
    </row>
    <row r="56" spans="1:5" s="112" customFormat="1" ht="16.5" customHeight="1" x14ac:dyDescent="0.25">
      <c r="A56" s="449"/>
      <c r="B56" s="459"/>
      <c r="C56" s="459"/>
      <c r="D56" s="459"/>
      <c r="E56" s="115"/>
    </row>
    <row r="57" spans="1:5" s="112" customFormat="1" ht="15.75" x14ac:dyDescent="0.25">
      <c r="A57" s="449"/>
      <c r="B57" s="116"/>
      <c r="C57" s="116"/>
      <c r="D57" s="116"/>
      <c r="E57" s="115"/>
    </row>
    <row r="58" spans="1:5" s="112" customFormat="1" ht="15.75" x14ac:dyDescent="0.25">
      <c r="A58" s="117"/>
      <c r="B58" s="118"/>
      <c r="C58" s="118"/>
      <c r="D58" s="118"/>
    </row>
    <row r="59" spans="1:5" s="112" customFormat="1" ht="15.75" x14ac:dyDescent="0.25">
      <c r="A59" s="117"/>
      <c r="B59" s="118"/>
      <c r="C59" s="118"/>
      <c r="D59" s="118"/>
    </row>
    <row r="60" spans="1:5" s="112" customFormat="1" ht="15.75" x14ac:dyDescent="0.25">
      <c r="A60" s="117"/>
      <c r="B60" s="118"/>
      <c r="C60" s="118"/>
      <c r="D60" s="118"/>
    </row>
    <row r="61" spans="1:5" s="112" customFormat="1" ht="15.75" x14ac:dyDescent="0.25">
      <c r="A61" s="117"/>
      <c r="B61" s="118"/>
      <c r="C61" s="118"/>
      <c r="D61" s="118"/>
    </row>
    <row r="62" spans="1:5" s="112" customFormat="1" ht="15.75" x14ac:dyDescent="0.25">
      <c r="A62" s="117"/>
      <c r="B62" s="118"/>
      <c r="C62" s="118"/>
      <c r="D62" s="118"/>
    </row>
    <row r="63" spans="1:5" s="112" customFormat="1" ht="15.75" x14ac:dyDescent="0.25">
      <c r="A63" s="119"/>
      <c r="B63" s="120"/>
      <c r="C63" s="120"/>
      <c r="D63" s="120"/>
    </row>
    <row r="64" spans="1:5" s="112" customFormat="1" ht="15.75" x14ac:dyDescent="0.25">
      <c r="A64" s="117"/>
      <c r="B64" s="118"/>
      <c r="C64" s="118"/>
      <c r="D64" s="118"/>
    </row>
    <row r="65" spans="1:4" s="112" customFormat="1" ht="15.75" x14ac:dyDescent="0.25">
      <c r="A65" s="117"/>
      <c r="B65" s="118"/>
      <c r="C65" s="118"/>
      <c r="D65" s="118"/>
    </row>
    <row r="66" spans="1:4" s="112" customFormat="1" ht="15.75" x14ac:dyDescent="0.25">
      <c r="A66" s="117"/>
      <c r="B66" s="118"/>
      <c r="C66" s="118"/>
      <c r="D66" s="118"/>
    </row>
    <row r="67" spans="1:4" s="112" customFormat="1" ht="15.75" x14ac:dyDescent="0.25">
      <c r="A67" s="119"/>
      <c r="B67" s="120"/>
      <c r="C67" s="120"/>
      <c r="D67" s="120"/>
    </row>
    <row r="68" spans="1:4" s="114" customFormat="1" ht="8.25" x14ac:dyDescent="0.25"/>
    <row r="69" spans="1:4" s="112" customFormat="1" ht="15.75" x14ac:dyDescent="0.25">
      <c r="A69" s="437"/>
      <c r="B69" s="437"/>
      <c r="C69" s="437"/>
      <c r="D69" s="437"/>
    </row>
    <row r="70" spans="1:4" s="112" customFormat="1" x14ac:dyDescent="0.25"/>
    <row r="71" spans="1:4" s="112" customFormat="1" x14ac:dyDescent="0.25"/>
    <row r="72" spans="1:4" s="112" customFormat="1" x14ac:dyDescent="0.25"/>
    <row r="73" spans="1:4" s="112" customFormat="1" x14ac:dyDescent="0.25"/>
    <row r="74" spans="1:4" s="112" customFormat="1" ht="15" x14ac:dyDescent="0.25">
      <c r="A74" s="121"/>
    </row>
    <row r="75" spans="1:4" s="112" customFormat="1" ht="15" x14ac:dyDescent="0.25">
      <c r="A75" s="458"/>
      <c r="B75" s="458"/>
      <c r="C75" s="458"/>
      <c r="D75" s="458"/>
    </row>
    <row r="76" spans="1:4" s="112" customFormat="1" ht="15" x14ac:dyDescent="0.25">
      <c r="A76" s="458"/>
      <c r="B76" s="458"/>
      <c r="C76" s="458"/>
      <c r="D76" s="458"/>
    </row>
    <row r="77" spans="1:4" s="112" customFormat="1" ht="15" x14ac:dyDescent="0.25">
      <c r="A77" s="458"/>
      <c r="B77" s="458"/>
      <c r="C77" s="458"/>
      <c r="D77" s="458"/>
    </row>
    <row r="78" spans="1:4" s="112" customFormat="1" ht="15" x14ac:dyDescent="0.25">
      <c r="A78" s="458"/>
      <c r="B78" s="458"/>
      <c r="C78" s="458"/>
      <c r="D78" s="458"/>
    </row>
    <row r="79" spans="1:4" s="112" customFormat="1" ht="15" x14ac:dyDescent="0.25">
      <c r="A79" s="458"/>
      <c r="B79" s="458"/>
      <c r="C79" s="458"/>
      <c r="D79" s="458"/>
    </row>
    <row r="80" spans="1:4" s="112" customFormat="1" ht="15" x14ac:dyDescent="0.25">
      <c r="A80" s="458"/>
      <c r="B80" s="458"/>
      <c r="C80" s="458"/>
      <c r="D80" s="458"/>
    </row>
    <row r="81" spans="1:4" s="112" customFormat="1" ht="15" x14ac:dyDescent="0.25">
      <c r="A81" s="458"/>
      <c r="B81" s="458"/>
      <c r="C81" s="458"/>
      <c r="D81" s="458"/>
    </row>
    <row r="82" spans="1:4" s="112" customFormat="1" x14ac:dyDescent="0.25"/>
    <row r="83" spans="1:4" s="112" customFormat="1" x14ac:dyDescent="0.25"/>
    <row r="84" spans="1:4" s="112" customFormat="1" x14ac:dyDescent="0.25"/>
    <row r="85" spans="1:4" s="112" customFormat="1" x14ac:dyDescent="0.25"/>
    <row r="86" spans="1:4" s="112" customFormat="1" x14ac:dyDescent="0.25"/>
    <row r="87" spans="1:4" s="112" customFormat="1" x14ac:dyDescent="0.25"/>
    <row r="88" spans="1:4" s="112" customFormat="1" x14ac:dyDescent="0.25"/>
    <row r="89" spans="1:4" s="112" customFormat="1" x14ac:dyDescent="0.25"/>
    <row r="90" spans="1:4" s="112" customFormat="1" x14ac:dyDescent="0.25"/>
    <row r="91" spans="1:4" s="112" customFormat="1" x14ac:dyDescent="0.25"/>
    <row r="92" spans="1:4" s="112" customFormat="1" x14ac:dyDescent="0.25"/>
    <row r="93" spans="1:4" s="112" customFormat="1" x14ac:dyDescent="0.25"/>
    <row r="94" spans="1:4" s="112" customFormat="1" x14ac:dyDescent="0.25"/>
    <row r="95" spans="1:4" s="112" customFormat="1" x14ac:dyDescent="0.25"/>
    <row r="96" spans="1:4" s="112" customFormat="1" x14ac:dyDescent="0.25"/>
    <row r="97" s="112" customFormat="1" x14ac:dyDescent="0.25"/>
    <row r="98" s="112" customFormat="1" x14ac:dyDescent="0.25"/>
    <row r="99" s="112" customFormat="1" x14ac:dyDescent="0.25"/>
    <row r="100" s="112" customFormat="1" x14ac:dyDescent="0.25"/>
    <row r="101" s="112" customFormat="1" x14ac:dyDescent="0.25"/>
    <row r="102" s="112" customFormat="1" x14ac:dyDescent="0.25"/>
    <row r="103" s="112" customFormat="1" x14ac:dyDescent="0.25"/>
    <row r="104" s="112" customFormat="1" x14ac:dyDescent="0.25"/>
    <row r="105" s="112" customFormat="1" x14ac:dyDescent="0.25"/>
    <row r="106" s="112" customFormat="1" x14ac:dyDescent="0.25"/>
    <row r="107" s="112" customFormat="1" x14ac:dyDescent="0.25"/>
    <row r="108" s="112" customFormat="1" x14ac:dyDescent="0.25"/>
    <row r="109" s="112" customFormat="1" x14ac:dyDescent="0.25"/>
    <row r="110" s="112" customFormat="1" x14ac:dyDescent="0.25"/>
    <row r="111" s="112" customFormat="1" x14ac:dyDescent="0.25"/>
    <row r="112" s="112" customFormat="1" x14ac:dyDescent="0.25"/>
    <row r="113" s="112" customFormat="1" x14ac:dyDescent="0.25"/>
    <row r="114" s="112" customFormat="1" x14ac:dyDescent="0.25"/>
    <row r="115" s="112" customFormat="1" x14ac:dyDescent="0.25"/>
    <row r="116" s="112" customFormat="1" x14ac:dyDescent="0.25"/>
    <row r="117" s="112" customFormat="1" x14ac:dyDescent="0.25"/>
    <row r="118" s="112" customFormat="1" x14ac:dyDescent="0.25"/>
    <row r="119" s="112" customFormat="1" x14ac:dyDescent="0.25"/>
    <row r="120" s="112" customFormat="1" x14ac:dyDescent="0.25"/>
    <row r="121" s="112" customFormat="1" x14ac:dyDescent="0.25"/>
    <row r="122" s="112" customFormat="1" x14ac:dyDescent="0.25"/>
    <row r="123" s="112" customFormat="1" x14ac:dyDescent="0.25"/>
    <row r="124" s="112" customFormat="1" x14ac:dyDescent="0.25"/>
    <row r="125" s="112" customFormat="1" x14ac:dyDescent="0.25"/>
    <row r="126" s="112" customFormat="1" x14ac:dyDescent="0.25"/>
    <row r="127" s="112" customFormat="1" x14ac:dyDescent="0.25"/>
    <row r="128" s="112" customFormat="1" x14ac:dyDescent="0.25"/>
    <row r="129" s="112" customFormat="1" x14ac:dyDescent="0.25"/>
    <row r="130" s="112" customFormat="1" x14ac:dyDescent="0.25"/>
    <row r="131" s="112" customFormat="1" x14ac:dyDescent="0.25"/>
    <row r="132" s="112" customFormat="1" x14ac:dyDescent="0.25"/>
    <row r="133" s="112" customFormat="1" x14ac:dyDescent="0.25"/>
    <row r="134" s="112" customFormat="1" x14ac:dyDescent="0.25"/>
    <row r="135" s="112" customFormat="1" x14ac:dyDescent="0.25"/>
    <row r="136" s="112" customFormat="1" x14ac:dyDescent="0.25"/>
    <row r="137" s="112" customFormat="1" x14ac:dyDescent="0.25"/>
    <row r="138" s="112" customFormat="1" x14ac:dyDescent="0.25"/>
    <row r="139" s="112" customFormat="1" x14ac:dyDescent="0.25"/>
    <row r="140" s="112" customFormat="1" x14ac:dyDescent="0.25"/>
    <row r="141" s="112" customFormat="1" x14ac:dyDescent="0.25"/>
    <row r="142" s="112" customFormat="1" x14ac:dyDescent="0.25"/>
    <row r="143" s="112" customFormat="1" x14ac:dyDescent="0.25"/>
    <row r="144" s="112" customFormat="1" x14ac:dyDescent="0.25"/>
    <row r="145" s="112" customFormat="1" x14ac:dyDescent="0.25"/>
    <row r="146" s="112" customFormat="1" x14ac:dyDescent="0.25"/>
    <row r="147" s="112" customFormat="1" x14ac:dyDescent="0.25"/>
    <row r="148" s="112" customFormat="1" x14ac:dyDescent="0.25"/>
    <row r="149" s="112" customFormat="1" x14ac:dyDescent="0.25"/>
    <row r="150" s="112" customFormat="1" x14ac:dyDescent="0.25"/>
    <row r="151" s="112" customFormat="1" x14ac:dyDescent="0.25"/>
    <row r="152" s="112" customFormat="1" x14ac:dyDescent="0.25"/>
    <row r="153" s="112" customFormat="1" x14ac:dyDescent="0.25"/>
    <row r="154" s="112" customFormat="1" x14ac:dyDescent="0.25"/>
    <row r="155" s="112" customFormat="1" x14ac:dyDescent="0.25"/>
    <row r="156" s="112" customFormat="1" x14ac:dyDescent="0.25"/>
  </sheetData>
  <sheetProtection password="D921" sheet="1" formatCells="0" formatColumns="0" formatRows="0" insertColumns="0" insertRows="0" insertHyperlinks="0" deleteColumns="0" deleteRows="0" selectLockedCells="1" sort="0" autoFilter="0" pivotTables="0"/>
  <dataConsolidate link="1"/>
  <mergeCells count="34">
    <mergeCell ref="A78:D78"/>
    <mergeCell ref="A79:D79"/>
    <mergeCell ref="A80:D80"/>
    <mergeCell ref="A81:D81"/>
    <mergeCell ref="A56:A57"/>
    <mergeCell ref="B56:D56"/>
    <mergeCell ref="A69:D69"/>
    <mergeCell ref="A75:D75"/>
    <mergeCell ref="A76:D76"/>
    <mergeCell ref="A77:D77"/>
    <mergeCell ref="A55:D55"/>
    <mergeCell ref="A34:D34"/>
    <mergeCell ref="A35:D35"/>
    <mergeCell ref="A36:D36"/>
    <mergeCell ref="A37:E37"/>
    <mergeCell ref="A38:D38"/>
    <mergeCell ref="A40:E40"/>
    <mergeCell ref="C44:E44"/>
    <mergeCell ref="D45:E45"/>
    <mergeCell ref="D46:E46"/>
    <mergeCell ref="A49:E49"/>
    <mergeCell ref="A51:E51"/>
    <mergeCell ref="A28:D28"/>
    <mergeCell ref="A1:E1"/>
    <mergeCell ref="A3:E3"/>
    <mergeCell ref="B5:E5"/>
    <mergeCell ref="B6:E6"/>
    <mergeCell ref="B7:E7"/>
    <mergeCell ref="B8:E8"/>
    <mergeCell ref="B9:E9"/>
    <mergeCell ref="B10:E10"/>
    <mergeCell ref="A12:A13"/>
    <mergeCell ref="B12:D12"/>
    <mergeCell ref="E12:E13"/>
  </mergeCells>
  <conditionalFormatting sqref="E26">
    <cfRule type="cellIs" dxfId="1" priority="1" stopIfTrue="1" operator="equal">
      <formula>"INADEQUADO"</formula>
    </cfRule>
    <cfRule type="cellIs" dxfId="0" priority="2" stopIfTrue="1" operator="equal">
      <formula>"OK"</formula>
    </cfRule>
  </conditionalFormatting>
  <dataValidations count="6">
    <dataValidation type="list" allowBlank="1" showInputMessage="1" showErrorMessage="1" errorTitle="ERRO" error="Digitar SIM ou NÃO!" sqref="B10:E10 IX10:JA10 ST10:SW10 ACP10:ACS10 AML10:AMO10 AWH10:AWK10 BGD10:BGG10 BPZ10:BQC10 BZV10:BZY10 CJR10:CJU10 CTN10:CTQ10 DDJ10:DDM10 DNF10:DNI10 DXB10:DXE10 EGX10:EHA10 EQT10:EQW10 FAP10:FAS10 FKL10:FKO10 FUH10:FUK10 GED10:GEG10 GNZ10:GOC10 GXV10:GXY10 HHR10:HHU10 HRN10:HRQ10 IBJ10:IBM10 ILF10:ILI10 IVB10:IVE10 JEX10:JFA10 JOT10:JOW10 JYP10:JYS10 KIL10:KIO10 KSH10:KSK10 LCD10:LCG10 LLZ10:LMC10 LVV10:LVY10 MFR10:MFU10 MPN10:MPQ10 MZJ10:MZM10 NJF10:NJI10 NTB10:NTE10 OCX10:ODA10 OMT10:OMW10 OWP10:OWS10 PGL10:PGO10 PQH10:PQK10 QAD10:QAG10 QJZ10:QKC10 QTV10:QTY10 RDR10:RDU10 RNN10:RNQ10 RXJ10:RXM10 SHF10:SHI10 SRB10:SRE10 TAX10:TBA10 TKT10:TKW10 TUP10:TUS10 UEL10:UEO10 UOH10:UOK10 UYD10:UYG10 VHZ10:VIC10 VRV10:VRY10 WBR10:WBU10 WLN10:WLQ10 WVJ10:WVM10 B65546:E65546 IX65546:JA65546 ST65546:SW65546 ACP65546:ACS65546 AML65546:AMO65546 AWH65546:AWK65546 BGD65546:BGG65546 BPZ65546:BQC65546 BZV65546:BZY65546 CJR65546:CJU65546 CTN65546:CTQ65546 DDJ65546:DDM65546 DNF65546:DNI65546 DXB65546:DXE65546 EGX65546:EHA65546 EQT65546:EQW65546 FAP65546:FAS65546 FKL65546:FKO65546 FUH65546:FUK65546 GED65546:GEG65546 GNZ65546:GOC65546 GXV65546:GXY65546 HHR65546:HHU65546 HRN65546:HRQ65546 IBJ65546:IBM65546 ILF65546:ILI65546 IVB65546:IVE65546 JEX65546:JFA65546 JOT65546:JOW65546 JYP65546:JYS65546 KIL65546:KIO65546 KSH65546:KSK65546 LCD65546:LCG65546 LLZ65546:LMC65546 LVV65546:LVY65546 MFR65546:MFU65546 MPN65546:MPQ65546 MZJ65546:MZM65546 NJF65546:NJI65546 NTB65546:NTE65546 OCX65546:ODA65546 OMT65546:OMW65546 OWP65546:OWS65546 PGL65546:PGO65546 PQH65546:PQK65546 QAD65546:QAG65546 QJZ65546:QKC65546 QTV65546:QTY65546 RDR65546:RDU65546 RNN65546:RNQ65546 RXJ65546:RXM65546 SHF65546:SHI65546 SRB65546:SRE65546 TAX65546:TBA65546 TKT65546:TKW65546 TUP65546:TUS65546 UEL65546:UEO65546 UOH65546:UOK65546 UYD65546:UYG65546 VHZ65546:VIC65546 VRV65546:VRY65546 WBR65546:WBU65546 WLN65546:WLQ65546 WVJ65546:WVM65546 B131082:E131082 IX131082:JA131082 ST131082:SW131082 ACP131082:ACS131082 AML131082:AMO131082 AWH131082:AWK131082 BGD131082:BGG131082 BPZ131082:BQC131082 BZV131082:BZY131082 CJR131082:CJU131082 CTN131082:CTQ131082 DDJ131082:DDM131082 DNF131082:DNI131082 DXB131082:DXE131082 EGX131082:EHA131082 EQT131082:EQW131082 FAP131082:FAS131082 FKL131082:FKO131082 FUH131082:FUK131082 GED131082:GEG131082 GNZ131082:GOC131082 GXV131082:GXY131082 HHR131082:HHU131082 HRN131082:HRQ131082 IBJ131082:IBM131082 ILF131082:ILI131082 IVB131082:IVE131082 JEX131082:JFA131082 JOT131082:JOW131082 JYP131082:JYS131082 KIL131082:KIO131082 KSH131082:KSK131082 LCD131082:LCG131082 LLZ131082:LMC131082 LVV131082:LVY131082 MFR131082:MFU131082 MPN131082:MPQ131082 MZJ131082:MZM131082 NJF131082:NJI131082 NTB131082:NTE131082 OCX131082:ODA131082 OMT131082:OMW131082 OWP131082:OWS131082 PGL131082:PGO131082 PQH131082:PQK131082 QAD131082:QAG131082 QJZ131082:QKC131082 QTV131082:QTY131082 RDR131082:RDU131082 RNN131082:RNQ131082 RXJ131082:RXM131082 SHF131082:SHI131082 SRB131082:SRE131082 TAX131082:TBA131082 TKT131082:TKW131082 TUP131082:TUS131082 UEL131082:UEO131082 UOH131082:UOK131082 UYD131082:UYG131082 VHZ131082:VIC131082 VRV131082:VRY131082 WBR131082:WBU131082 WLN131082:WLQ131082 WVJ131082:WVM131082 B196618:E196618 IX196618:JA196618 ST196618:SW196618 ACP196618:ACS196618 AML196618:AMO196618 AWH196618:AWK196618 BGD196618:BGG196618 BPZ196618:BQC196618 BZV196618:BZY196618 CJR196618:CJU196618 CTN196618:CTQ196618 DDJ196618:DDM196618 DNF196618:DNI196618 DXB196618:DXE196618 EGX196618:EHA196618 EQT196618:EQW196618 FAP196618:FAS196618 FKL196618:FKO196618 FUH196618:FUK196618 GED196618:GEG196618 GNZ196618:GOC196618 GXV196618:GXY196618 HHR196618:HHU196618 HRN196618:HRQ196618 IBJ196618:IBM196618 ILF196618:ILI196618 IVB196618:IVE196618 JEX196618:JFA196618 JOT196618:JOW196618 JYP196618:JYS196618 KIL196618:KIO196618 KSH196618:KSK196618 LCD196618:LCG196618 LLZ196618:LMC196618 LVV196618:LVY196618 MFR196618:MFU196618 MPN196618:MPQ196618 MZJ196618:MZM196618 NJF196618:NJI196618 NTB196618:NTE196618 OCX196618:ODA196618 OMT196618:OMW196618 OWP196618:OWS196618 PGL196618:PGO196618 PQH196618:PQK196618 QAD196618:QAG196618 QJZ196618:QKC196618 QTV196618:QTY196618 RDR196618:RDU196618 RNN196618:RNQ196618 RXJ196618:RXM196618 SHF196618:SHI196618 SRB196618:SRE196618 TAX196618:TBA196618 TKT196618:TKW196618 TUP196618:TUS196618 UEL196618:UEO196618 UOH196618:UOK196618 UYD196618:UYG196618 VHZ196618:VIC196618 VRV196618:VRY196618 WBR196618:WBU196618 WLN196618:WLQ196618 WVJ196618:WVM196618 B262154:E262154 IX262154:JA262154 ST262154:SW262154 ACP262154:ACS262154 AML262154:AMO262154 AWH262154:AWK262154 BGD262154:BGG262154 BPZ262154:BQC262154 BZV262154:BZY262154 CJR262154:CJU262154 CTN262154:CTQ262154 DDJ262154:DDM262154 DNF262154:DNI262154 DXB262154:DXE262154 EGX262154:EHA262154 EQT262154:EQW262154 FAP262154:FAS262154 FKL262154:FKO262154 FUH262154:FUK262154 GED262154:GEG262154 GNZ262154:GOC262154 GXV262154:GXY262154 HHR262154:HHU262154 HRN262154:HRQ262154 IBJ262154:IBM262154 ILF262154:ILI262154 IVB262154:IVE262154 JEX262154:JFA262154 JOT262154:JOW262154 JYP262154:JYS262154 KIL262154:KIO262154 KSH262154:KSK262154 LCD262154:LCG262154 LLZ262154:LMC262154 LVV262154:LVY262154 MFR262154:MFU262154 MPN262154:MPQ262154 MZJ262154:MZM262154 NJF262154:NJI262154 NTB262154:NTE262154 OCX262154:ODA262154 OMT262154:OMW262154 OWP262154:OWS262154 PGL262154:PGO262154 PQH262154:PQK262154 QAD262154:QAG262154 QJZ262154:QKC262154 QTV262154:QTY262154 RDR262154:RDU262154 RNN262154:RNQ262154 RXJ262154:RXM262154 SHF262154:SHI262154 SRB262154:SRE262154 TAX262154:TBA262154 TKT262154:TKW262154 TUP262154:TUS262154 UEL262154:UEO262154 UOH262154:UOK262154 UYD262154:UYG262154 VHZ262154:VIC262154 VRV262154:VRY262154 WBR262154:WBU262154 WLN262154:WLQ262154 WVJ262154:WVM262154 B327690:E327690 IX327690:JA327690 ST327690:SW327690 ACP327690:ACS327690 AML327690:AMO327690 AWH327690:AWK327690 BGD327690:BGG327690 BPZ327690:BQC327690 BZV327690:BZY327690 CJR327690:CJU327690 CTN327690:CTQ327690 DDJ327690:DDM327690 DNF327690:DNI327690 DXB327690:DXE327690 EGX327690:EHA327690 EQT327690:EQW327690 FAP327690:FAS327690 FKL327690:FKO327690 FUH327690:FUK327690 GED327690:GEG327690 GNZ327690:GOC327690 GXV327690:GXY327690 HHR327690:HHU327690 HRN327690:HRQ327690 IBJ327690:IBM327690 ILF327690:ILI327690 IVB327690:IVE327690 JEX327690:JFA327690 JOT327690:JOW327690 JYP327690:JYS327690 KIL327690:KIO327690 KSH327690:KSK327690 LCD327690:LCG327690 LLZ327690:LMC327690 LVV327690:LVY327690 MFR327690:MFU327690 MPN327690:MPQ327690 MZJ327690:MZM327690 NJF327690:NJI327690 NTB327690:NTE327690 OCX327690:ODA327690 OMT327690:OMW327690 OWP327690:OWS327690 PGL327690:PGO327690 PQH327690:PQK327690 QAD327690:QAG327690 QJZ327690:QKC327690 QTV327690:QTY327690 RDR327690:RDU327690 RNN327690:RNQ327690 RXJ327690:RXM327690 SHF327690:SHI327690 SRB327690:SRE327690 TAX327690:TBA327690 TKT327690:TKW327690 TUP327690:TUS327690 UEL327690:UEO327690 UOH327690:UOK327690 UYD327690:UYG327690 VHZ327690:VIC327690 VRV327690:VRY327690 WBR327690:WBU327690 WLN327690:WLQ327690 WVJ327690:WVM327690 B393226:E393226 IX393226:JA393226 ST393226:SW393226 ACP393226:ACS393226 AML393226:AMO393226 AWH393226:AWK393226 BGD393226:BGG393226 BPZ393226:BQC393226 BZV393226:BZY393226 CJR393226:CJU393226 CTN393226:CTQ393226 DDJ393226:DDM393226 DNF393226:DNI393226 DXB393226:DXE393226 EGX393226:EHA393226 EQT393226:EQW393226 FAP393226:FAS393226 FKL393226:FKO393226 FUH393226:FUK393226 GED393226:GEG393226 GNZ393226:GOC393226 GXV393226:GXY393226 HHR393226:HHU393226 HRN393226:HRQ393226 IBJ393226:IBM393226 ILF393226:ILI393226 IVB393226:IVE393226 JEX393226:JFA393226 JOT393226:JOW393226 JYP393226:JYS393226 KIL393226:KIO393226 KSH393226:KSK393226 LCD393226:LCG393226 LLZ393226:LMC393226 LVV393226:LVY393226 MFR393226:MFU393226 MPN393226:MPQ393226 MZJ393226:MZM393226 NJF393226:NJI393226 NTB393226:NTE393226 OCX393226:ODA393226 OMT393226:OMW393226 OWP393226:OWS393226 PGL393226:PGO393226 PQH393226:PQK393226 QAD393226:QAG393226 QJZ393226:QKC393226 QTV393226:QTY393226 RDR393226:RDU393226 RNN393226:RNQ393226 RXJ393226:RXM393226 SHF393226:SHI393226 SRB393226:SRE393226 TAX393226:TBA393226 TKT393226:TKW393226 TUP393226:TUS393226 UEL393226:UEO393226 UOH393226:UOK393226 UYD393226:UYG393226 VHZ393226:VIC393226 VRV393226:VRY393226 WBR393226:WBU393226 WLN393226:WLQ393226 WVJ393226:WVM393226 B458762:E458762 IX458762:JA458762 ST458762:SW458762 ACP458762:ACS458762 AML458762:AMO458762 AWH458762:AWK458762 BGD458762:BGG458762 BPZ458762:BQC458762 BZV458762:BZY458762 CJR458762:CJU458762 CTN458762:CTQ458762 DDJ458762:DDM458762 DNF458762:DNI458762 DXB458762:DXE458762 EGX458762:EHA458762 EQT458762:EQW458762 FAP458762:FAS458762 FKL458762:FKO458762 FUH458762:FUK458762 GED458762:GEG458762 GNZ458762:GOC458762 GXV458762:GXY458762 HHR458762:HHU458762 HRN458762:HRQ458762 IBJ458762:IBM458762 ILF458762:ILI458762 IVB458762:IVE458762 JEX458762:JFA458762 JOT458762:JOW458762 JYP458762:JYS458762 KIL458762:KIO458762 KSH458762:KSK458762 LCD458762:LCG458762 LLZ458762:LMC458762 LVV458762:LVY458762 MFR458762:MFU458762 MPN458762:MPQ458762 MZJ458762:MZM458762 NJF458762:NJI458762 NTB458762:NTE458762 OCX458762:ODA458762 OMT458762:OMW458762 OWP458762:OWS458762 PGL458762:PGO458762 PQH458762:PQK458762 QAD458762:QAG458762 QJZ458762:QKC458762 QTV458762:QTY458762 RDR458762:RDU458762 RNN458762:RNQ458762 RXJ458762:RXM458762 SHF458762:SHI458762 SRB458762:SRE458762 TAX458762:TBA458762 TKT458762:TKW458762 TUP458762:TUS458762 UEL458762:UEO458762 UOH458762:UOK458762 UYD458762:UYG458762 VHZ458762:VIC458762 VRV458762:VRY458762 WBR458762:WBU458762 WLN458762:WLQ458762 WVJ458762:WVM458762 B524298:E524298 IX524298:JA524298 ST524298:SW524298 ACP524298:ACS524298 AML524298:AMO524298 AWH524298:AWK524298 BGD524298:BGG524298 BPZ524298:BQC524298 BZV524298:BZY524298 CJR524298:CJU524298 CTN524298:CTQ524298 DDJ524298:DDM524298 DNF524298:DNI524298 DXB524298:DXE524298 EGX524298:EHA524298 EQT524298:EQW524298 FAP524298:FAS524298 FKL524298:FKO524298 FUH524298:FUK524298 GED524298:GEG524298 GNZ524298:GOC524298 GXV524298:GXY524298 HHR524298:HHU524298 HRN524298:HRQ524298 IBJ524298:IBM524298 ILF524298:ILI524298 IVB524298:IVE524298 JEX524298:JFA524298 JOT524298:JOW524298 JYP524298:JYS524298 KIL524298:KIO524298 KSH524298:KSK524298 LCD524298:LCG524298 LLZ524298:LMC524298 LVV524298:LVY524298 MFR524298:MFU524298 MPN524298:MPQ524298 MZJ524298:MZM524298 NJF524298:NJI524298 NTB524298:NTE524298 OCX524298:ODA524298 OMT524298:OMW524298 OWP524298:OWS524298 PGL524298:PGO524298 PQH524298:PQK524298 QAD524298:QAG524298 QJZ524298:QKC524298 QTV524298:QTY524298 RDR524298:RDU524298 RNN524298:RNQ524298 RXJ524298:RXM524298 SHF524298:SHI524298 SRB524298:SRE524298 TAX524298:TBA524298 TKT524298:TKW524298 TUP524298:TUS524298 UEL524298:UEO524298 UOH524298:UOK524298 UYD524298:UYG524298 VHZ524298:VIC524298 VRV524298:VRY524298 WBR524298:WBU524298 WLN524298:WLQ524298 WVJ524298:WVM524298 B589834:E589834 IX589834:JA589834 ST589834:SW589834 ACP589834:ACS589834 AML589834:AMO589834 AWH589834:AWK589834 BGD589834:BGG589834 BPZ589834:BQC589834 BZV589834:BZY589834 CJR589834:CJU589834 CTN589834:CTQ589834 DDJ589834:DDM589834 DNF589834:DNI589834 DXB589834:DXE589834 EGX589834:EHA589834 EQT589834:EQW589834 FAP589834:FAS589834 FKL589834:FKO589834 FUH589834:FUK589834 GED589834:GEG589834 GNZ589834:GOC589834 GXV589834:GXY589834 HHR589834:HHU589834 HRN589834:HRQ589834 IBJ589834:IBM589834 ILF589834:ILI589834 IVB589834:IVE589834 JEX589834:JFA589834 JOT589834:JOW589834 JYP589834:JYS589834 KIL589834:KIO589834 KSH589834:KSK589834 LCD589834:LCG589834 LLZ589834:LMC589834 LVV589834:LVY589834 MFR589834:MFU589834 MPN589834:MPQ589834 MZJ589834:MZM589834 NJF589834:NJI589834 NTB589834:NTE589834 OCX589834:ODA589834 OMT589834:OMW589834 OWP589834:OWS589834 PGL589834:PGO589834 PQH589834:PQK589834 QAD589834:QAG589834 QJZ589834:QKC589834 QTV589834:QTY589834 RDR589834:RDU589834 RNN589834:RNQ589834 RXJ589834:RXM589834 SHF589834:SHI589834 SRB589834:SRE589834 TAX589834:TBA589834 TKT589834:TKW589834 TUP589834:TUS589834 UEL589834:UEO589834 UOH589834:UOK589834 UYD589834:UYG589834 VHZ589834:VIC589834 VRV589834:VRY589834 WBR589834:WBU589834 WLN589834:WLQ589834 WVJ589834:WVM589834 B655370:E655370 IX655370:JA655370 ST655370:SW655370 ACP655370:ACS655370 AML655370:AMO655370 AWH655370:AWK655370 BGD655370:BGG655370 BPZ655370:BQC655370 BZV655370:BZY655370 CJR655370:CJU655370 CTN655370:CTQ655370 DDJ655370:DDM655370 DNF655370:DNI655370 DXB655370:DXE655370 EGX655370:EHA655370 EQT655370:EQW655370 FAP655370:FAS655370 FKL655370:FKO655370 FUH655370:FUK655370 GED655370:GEG655370 GNZ655370:GOC655370 GXV655370:GXY655370 HHR655370:HHU655370 HRN655370:HRQ655370 IBJ655370:IBM655370 ILF655370:ILI655370 IVB655370:IVE655370 JEX655370:JFA655370 JOT655370:JOW655370 JYP655370:JYS655370 KIL655370:KIO655370 KSH655370:KSK655370 LCD655370:LCG655370 LLZ655370:LMC655370 LVV655370:LVY655370 MFR655370:MFU655370 MPN655370:MPQ655370 MZJ655370:MZM655370 NJF655370:NJI655370 NTB655370:NTE655370 OCX655370:ODA655370 OMT655370:OMW655370 OWP655370:OWS655370 PGL655370:PGO655370 PQH655370:PQK655370 QAD655370:QAG655370 QJZ655370:QKC655370 QTV655370:QTY655370 RDR655370:RDU655370 RNN655370:RNQ655370 RXJ655370:RXM655370 SHF655370:SHI655370 SRB655370:SRE655370 TAX655370:TBA655370 TKT655370:TKW655370 TUP655370:TUS655370 UEL655370:UEO655370 UOH655370:UOK655370 UYD655370:UYG655370 VHZ655370:VIC655370 VRV655370:VRY655370 WBR655370:WBU655370 WLN655370:WLQ655370 WVJ655370:WVM655370 B720906:E720906 IX720906:JA720906 ST720906:SW720906 ACP720906:ACS720906 AML720906:AMO720906 AWH720906:AWK720906 BGD720906:BGG720906 BPZ720906:BQC720906 BZV720906:BZY720906 CJR720906:CJU720906 CTN720906:CTQ720906 DDJ720906:DDM720906 DNF720906:DNI720906 DXB720906:DXE720906 EGX720906:EHA720906 EQT720906:EQW720906 FAP720906:FAS720906 FKL720906:FKO720906 FUH720906:FUK720906 GED720906:GEG720906 GNZ720906:GOC720906 GXV720906:GXY720906 HHR720906:HHU720906 HRN720906:HRQ720906 IBJ720906:IBM720906 ILF720906:ILI720906 IVB720906:IVE720906 JEX720906:JFA720906 JOT720906:JOW720906 JYP720906:JYS720906 KIL720906:KIO720906 KSH720906:KSK720906 LCD720906:LCG720906 LLZ720906:LMC720906 LVV720906:LVY720906 MFR720906:MFU720906 MPN720906:MPQ720906 MZJ720906:MZM720906 NJF720906:NJI720906 NTB720906:NTE720906 OCX720906:ODA720906 OMT720906:OMW720906 OWP720906:OWS720906 PGL720906:PGO720906 PQH720906:PQK720906 QAD720906:QAG720906 QJZ720906:QKC720906 QTV720906:QTY720906 RDR720906:RDU720906 RNN720906:RNQ720906 RXJ720906:RXM720906 SHF720906:SHI720906 SRB720906:SRE720906 TAX720906:TBA720906 TKT720906:TKW720906 TUP720906:TUS720906 UEL720906:UEO720906 UOH720906:UOK720906 UYD720906:UYG720906 VHZ720906:VIC720906 VRV720906:VRY720906 WBR720906:WBU720906 WLN720906:WLQ720906 WVJ720906:WVM720906 B786442:E786442 IX786442:JA786442 ST786442:SW786442 ACP786442:ACS786442 AML786442:AMO786442 AWH786442:AWK786442 BGD786442:BGG786442 BPZ786442:BQC786442 BZV786442:BZY786442 CJR786442:CJU786442 CTN786442:CTQ786442 DDJ786442:DDM786442 DNF786442:DNI786442 DXB786442:DXE786442 EGX786442:EHA786442 EQT786442:EQW786442 FAP786442:FAS786442 FKL786442:FKO786442 FUH786442:FUK786442 GED786442:GEG786442 GNZ786442:GOC786442 GXV786442:GXY786442 HHR786442:HHU786442 HRN786442:HRQ786442 IBJ786442:IBM786442 ILF786442:ILI786442 IVB786442:IVE786442 JEX786442:JFA786442 JOT786442:JOW786442 JYP786442:JYS786442 KIL786442:KIO786442 KSH786442:KSK786442 LCD786442:LCG786442 LLZ786442:LMC786442 LVV786442:LVY786442 MFR786442:MFU786442 MPN786442:MPQ786442 MZJ786442:MZM786442 NJF786442:NJI786442 NTB786442:NTE786442 OCX786442:ODA786442 OMT786442:OMW786442 OWP786442:OWS786442 PGL786442:PGO786442 PQH786442:PQK786442 QAD786442:QAG786442 QJZ786442:QKC786442 QTV786442:QTY786442 RDR786442:RDU786442 RNN786442:RNQ786442 RXJ786442:RXM786442 SHF786442:SHI786442 SRB786442:SRE786442 TAX786442:TBA786442 TKT786442:TKW786442 TUP786442:TUS786442 UEL786442:UEO786442 UOH786442:UOK786442 UYD786442:UYG786442 VHZ786442:VIC786442 VRV786442:VRY786442 WBR786442:WBU786442 WLN786442:WLQ786442 WVJ786442:WVM786442 B851978:E851978 IX851978:JA851978 ST851978:SW851978 ACP851978:ACS851978 AML851978:AMO851978 AWH851978:AWK851978 BGD851978:BGG851978 BPZ851978:BQC851978 BZV851978:BZY851978 CJR851978:CJU851978 CTN851978:CTQ851978 DDJ851978:DDM851978 DNF851978:DNI851978 DXB851978:DXE851978 EGX851978:EHA851978 EQT851978:EQW851978 FAP851978:FAS851978 FKL851978:FKO851978 FUH851978:FUK851978 GED851978:GEG851978 GNZ851978:GOC851978 GXV851978:GXY851978 HHR851978:HHU851978 HRN851978:HRQ851978 IBJ851978:IBM851978 ILF851978:ILI851978 IVB851978:IVE851978 JEX851978:JFA851978 JOT851978:JOW851978 JYP851978:JYS851978 KIL851978:KIO851978 KSH851978:KSK851978 LCD851978:LCG851978 LLZ851978:LMC851978 LVV851978:LVY851978 MFR851978:MFU851978 MPN851978:MPQ851978 MZJ851978:MZM851978 NJF851978:NJI851978 NTB851978:NTE851978 OCX851978:ODA851978 OMT851978:OMW851978 OWP851978:OWS851978 PGL851978:PGO851978 PQH851978:PQK851978 QAD851978:QAG851978 QJZ851978:QKC851978 QTV851978:QTY851978 RDR851978:RDU851978 RNN851978:RNQ851978 RXJ851978:RXM851978 SHF851978:SHI851978 SRB851978:SRE851978 TAX851978:TBA851978 TKT851978:TKW851978 TUP851978:TUS851978 UEL851978:UEO851978 UOH851978:UOK851978 UYD851978:UYG851978 VHZ851978:VIC851978 VRV851978:VRY851978 WBR851978:WBU851978 WLN851978:WLQ851978 WVJ851978:WVM851978 B917514:E917514 IX917514:JA917514 ST917514:SW917514 ACP917514:ACS917514 AML917514:AMO917514 AWH917514:AWK917514 BGD917514:BGG917514 BPZ917514:BQC917514 BZV917514:BZY917514 CJR917514:CJU917514 CTN917514:CTQ917514 DDJ917514:DDM917514 DNF917514:DNI917514 DXB917514:DXE917514 EGX917514:EHA917514 EQT917514:EQW917514 FAP917514:FAS917514 FKL917514:FKO917514 FUH917514:FUK917514 GED917514:GEG917514 GNZ917514:GOC917514 GXV917514:GXY917514 HHR917514:HHU917514 HRN917514:HRQ917514 IBJ917514:IBM917514 ILF917514:ILI917514 IVB917514:IVE917514 JEX917514:JFA917514 JOT917514:JOW917514 JYP917514:JYS917514 KIL917514:KIO917514 KSH917514:KSK917514 LCD917514:LCG917514 LLZ917514:LMC917514 LVV917514:LVY917514 MFR917514:MFU917514 MPN917514:MPQ917514 MZJ917514:MZM917514 NJF917514:NJI917514 NTB917514:NTE917514 OCX917514:ODA917514 OMT917514:OMW917514 OWP917514:OWS917514 PGL917514:PGO917514 PQH917514:PQK917514 QAD917514:QAG917514 QJZ917514:QKC917514 QTV917514:QTY917514 RDR917514:RDU917514 RNN917514:RNQ917514 RXJ917514:RXM917514 SHF917514:SHI917514 SRB917514:SRE917514 TAX917514:TBA917514 TKT917514:TKW917514 TUP917514:TUS917514 UEL917514:UEO917514 UOH917514:UOK917514 UYD917514:UYG917514 VHZ917514:VIC917514 VRV917514:VRY917514 WBR917514:WBU917514 WLN917514:WLQ917514 WVJ917514:WVM917514 B983050:E983050 IX983050:JA983050 ST983050:SW983050 ACP983050:ACS983050 AML983050:AMO983050 AWH983050:AWK983050 BGD983050:BGG983050 BPZ983050:BQC983050 BZV983050:BZY983050 CJR983050:CJU983050 CTN983050:CTQ983050 DDJ983050:DDM983050 DNF983050:DNI983050 DXB983050:DXE983050 EGX983050:EHA983050 EQT983050:EQW983050 FAP983050:FAS983050 FKL983050:FKO983050 FUH983050:FUK983050 GED983050:GEG983050 GNZ983050:GOC983050 GXV983050:GXY983050 HHR983050:HHU983050 HRN983050:HRQ983050 IBJ983050:IBM983050 ILF983050:ILI983050 IVB983050:IVE983050 JEX983050:JFA983050 JOT983050:JOW983050 JYP983050:JYS983050 KIL983050:KIO983050 KSH983050:KSK983050 LCD983050:LCG983050 LLZ983050:LMC983050 LVV983050:LVY983050 MFR983050:MFU983050 MPN983050:MPQ983050 MZJ983050:MZM983050 NJF983050:NJI983050 NTB983050:NTE983050 OCX983050:ODA983050 OMT983050:OMW983050 OWP983050:OWS983050 PGL983050:PGO983050 PQH983050:PQK983050 QAD983050:QAG983050 QJZ983050:QKC983050 QTV983050:QTY983050 RDR983050:RDU983050 RNN983050:RNQ983050 RXJ983050:RXM983050 SHF983050:SHI983050 SRB983050:SRE983050 TAX983050:TBA983050 TKT983050:TKW983050 TUP983050:TUS983050 UEL983050:UEO983050 UOH983050:UOK983050 UYD983050:UYG983050 VHZ983050:VIC983050 VRV983050:VRY983050 WBR983050:WBU983050 WLN983050:WLQ983050 WVJ983050:WVM983050">
      <formula1>sigla_sn</formula1>
    </dataValidation>
    <dataValidation type="decimal" allowBlank="1" showInputMessage="1" showErrorMessage="1" errorTitle="ERRO" error="Digite a % da Nota em que se incide o ISS" promptTitle="COMO PREENCHER:" prompt="- DE 0% A 100% CONFORME APLICADO PELA PREFEITURA NA NOTA PARA MÃO DE OBRA!" sqref="B9:E9 IX9:JA9 ST9:SW9 ACP9:ACS9 AML9:AMO9 AWH9:AWK9 BGD9:BGG9 BPZ9:BQC9 BZV9:BZY9 CJR9:CJU9 CTN9:CTQ9 DDJ9:DDM9 DNF9:DNI9 DXB9:DXE9 EGX9:EHA9 EQT9:EQW9 FAP9:FAS9 FKL9:FKO9 FUH9:FUK9 GED9:GEG9 GNZ9:GOC9 GXV9:GXY9 HHR9:HHU9 HRN9:HRQ9 IBJ9:IBM9 ILF9:ILI9 IVB9:IVE9 JEX9:JFA9 JOT9:JOW9 JYP9:JYS9 KIL9:KIO9 KSH9:KSK9 LCD9:LCG9 LLZ9:LMC9 LVV9:LVY9 MFR9:MFU9 MPN9:MPQ9 MZJ9:MZM9 NJF9:NJI9 NTB9:NTE9 OCX9:ODA9 OMT9:OMW9 OWP9:OWS9 PGL9:PGO9 PQH9:PQK9 QAD9:QAG9 QJZ9:QKC9 QTV9:QTY9 RDR9:RDU9 RNN9:RNQ9 RXJ9:RXM9 SHF9:SHI9 SRB9:SRE9 TAX9:TBA9 TKT9:TKW9 TUP9:TUS9 UEL9:UEO9 UOH9:UOK9 UYD9:UYG9 VHZ9:VIC9 VRV9:VRY9 WBR9:WBU9 WLN9:WLQ9 WVJ9:WVM9 B65545:E65545 IX65545:JA65545 ST65545:SW65545 ACP65545:ACS65545 AML65545:AMO65545 AWH65545:AWK65545 BGD65545:BGG65545 BPZ65545:BQC65545 BZV65545:BZY65545 CJR65545:CJU65545 CTN65545:CTQ65545 DDJ65545:DDM65545 DNF65545:DNI65545 DXB65545:DXE65545 EGX65545:EHA65545 EQT65545:EQW65545 FAP65545:FAS65545 FKL65545:FKO65545 FUH65545:FUK65545 GED65545:GEG65545 GNZ65545:GOC65545 GXV65545:GXY65545 HHR65545:HHU65545 HRN65545:HRQ65545 IBJ65545:IBM65545 ILF65545:ILI65545 IVB65545:IVE65545 JEX65545:JFA65545 JOT65545:JOW65545 JYP65545:JYS65545 KIL65545:KIO65545 KSH65545:KSK65545 LCD65545:LCG65545 LLZ65545:LMC65545 LVV65545:LVY65545 MFR65545:MFU65545 MPN65545:MPQ65545 MZJ65545:MZM65545 NJF65545:NJI65545 NTB65545:NTE65545 OCX65545:ODA65545 OMT65545:OMW65545 OWP65545:OWS65545 PGL65545:PGO65545 PQH65545:PQK65545 QAD65545:QAG65545 QJZ65545:QKC65545 QTV65545:QTY65545 RDR65545:RDU65545 RNN65545:RNQ65545 RXJ65545:RXM65545 SHF65545:SHI65545 SRB65545:SRE65545 TAX65545:TBA65545 TKT65545:TKW65545 TUP65545:TUS65545 UEL65545:UEO65545 UOH65545:UOK65545 UYD65545:UYG65545 VHZ65545:VIC65545 VRV65545:VRY65545 WBR65545:WBU65545 WLN65545:WLQ65545 WVJ65545:WVM65545 B131081:E131081 IX131081:JA131081 ST131081:SW131081 ACP131081:ACS131081 AML131081:AMO131081 AWH131081:AWK131081 BGD131081:BGG131081 BPZ131081:BQC131081 BZV131081:BZY131081 CJR131081:CJU131081 CTN131081:CTQ131081 DDJ131081:DDM131081 DNF131081:DNI131081 DXB131081:DXE131081 EGX131081:EHA131081 EQT131081:EQW131081 FAP131081:FAS131081 FKL131081:FKO131081 FUH131081:FUK131081 GED131081:GEG131081 GNZ131081:GOC131081 GXV131081:GXY131081 HHR131081:HHU131081 HRN131081:HRQ131081 IBJ131081:IBM131081 ILF131081:ILI131081 IVB131081:IVE131081 JEX131081:JFA131081 JOT131081:JOW131081 JYP131081:JYS131081 KIL131081:KIO131081 KSH131081:KSK131081 LCD131081:LCG131081 LLZ131081:LMC131081 LVV131081:LVY131081 MFR131081:MFU131081 MPN131081:MPQ131081 MZJ131081:MZM131081 NJF131081:NJI131081 NTB131081:NTE131081 OCX131081:ODA131081 OMT131081:OMW131081 OWP131081:OWS131081 PGL131081:PGO131081 PQH131081:PQK131081 QAD131081:QAG131081 QJZ131081:QKC131081 QTV131081:QTY131081 RDR131081:RDU131081 RNN131081:RNQ131081 RXJ131081:RXM131081 SHF131081:SHI131081 SRB131081:SRE131081 TAX131081:TBA131081 TKT131081:TKW131081 TUP131081:TUS131081 UEL131081:UEO131081 UOH131081:UOK131081 UYD131081:UYG131081 VHZ131081:VIC131081 VRV131081:VRY131081 WBR131081:WBU131081 WLN131081:WLQ131081 WVJ131081:WVM131081 B196617:E196617 IX196617:JA196617 ST196617:SW196617 ACP196617:ACS196617 AML196617:AMO196617 AWH196617:AWK196617 BGD196617:BGG196617 BPZ196617:BQC196617 BZV196617:BZY196617 CJR196617:CJU196617 CTN196617:CTQ196617 DDJ196617:DDM196617 DNF196617:DNI196617 DXB196617:DXE196617 EGX196617:EHA196617 EQT196617:EQW196617 FAP196617:FAS196617 FKL196617:FKO196617 FUH196617:FUK196617 GED196617:GEG196617 GNZ196617:GOC196617 GXV196617:GXY196617 HHR196617:HHU196617 HRN196617:HRQ196617 IBJ196617:IBM196617 ILF196617:ILI196617 IVB196617:IVE196617 JEX196617:JFA196617 JOT196617:JOW196617 JYP196617:JYS196617 KIL196617:KIO196617 KSH196617:KSK196617 LCD196617:LCG196617 LLZ196617:LMC196617 LVV196617:LVY196617 MFR196617:MFU196617 MPN196617:MPQ196617 MZJ196617:MZM196617 NJF196617:NJI196617 NTB196617:NTE196617 OCX196617:ODA196617 OMT196617:OMW196617 OWP196617:OWS196617 PGL196617:PGO196617 PQH196617:PQK196617 QAD196617:QAG196617 QJZ196617:QKC196617 QTV196617:QTY196617 RDR196617:RDU196617 RNN196617:RNQ196617 RXJ196617:RXM196617 SHF196617:SHI196617 SRB196617:SRE196617 TAX196617:TBA196617 TKT196617:TKW196617 TUP196617:TUS196617 UEL196617:UEO196617 UOH196617:UOK196617 UYD196617:UYG196617 VHZ196617:VIC196617 VRV196617:VRY196617 WBR196617:WBU196617 WLN196617:WLQ196617 WVJ196617:WVM196617 B262153:E262153 IX262153:JA262153 ST262153:SW262153 ACP262153:ACS262153 AML262153:AMO262153 AWH262153:AWK262153 BGD262153:BGG262153 BPZ262153:BQC262153 BZV262153:BZY262153 CJR262153:CJU262153 CTN262153:CTQ262153 DDJ262153:DDM262153 DNF262153:DNI262153 DXB262153:DXE262153 EGX262153:EHA262153 EQT262153:EQW262153 FAP262153:FAS262153 FKL262153:FKO262153 FUH262153:FUK262153 GED262153:GEG262153 GNZ262153:GOC262153 GXV262153:GXY262153 HHR262153:HHU262153 HRN262153:HRQ262153 IBJ262153:IBM262153 ILF262153:ILI262153 IVB262153:IVE262153 JEX262153:JFA262153 JOT262153:JOW262153 JYP262153:JYS262153 KIL262153:KIO262153 KSH262153:KSK262153 LCD262153:LCG262153 LLZ262153:LMC262153 LVV262153:LVY262153 MFR262153:MFU262153 MPN262153:MPQ262153 MZJ262153:MZM262153 NJF262153:NJI262153 NTB262153:NTE262153 OCX262153:ODA262153 OMT262153:OMW262153 OWP262153:OWS262153 PGL262153:PGO262153 PQH262153:PQK262153 QAD262153:QAG262153 QJZ262153:QKC262153 QTV262153:QTY262153 RDR262153:RDU262153 RNN262153:RNQ262153 RXJ262153:RXM262153 SHF262153:SHI262153 SRB262153:SRE262153 TAX262153:TBA262153 TKT262153:TKW262153 TUP262153:TUS262153 UEL262153:UEO262153 UOH262153:UOK262153 UYD262153:UYG262153 VHZ262153:VIC262153 VRV262153:VRY262153 WBR262153:WBU262153 WLN262153:WLQ262153 WVJ262153:WVM262153 B327689:E327689 IX327689:JA327689 ST327689:SW327689 ACP327689:ACS327689 AML327689:AMO327689 AWH327689:AWK327689 BGD327689:BGG327689 BPZ327689:BQC327689 BZV327689:BZY327689 CJR327689:CJU327689 CTN327689:CTQ327689 DDJ327689:DDM327689 DNF327689:DNI327689 DXB327689:DXE327689 EGX327689:EHA327689 EQT327689:EQW327689 FAP327689:FAS327689 FKL327689:FKO327689 FUH327689:FUK327689 GED327689:GEG327689 GNZ327689:GOC327689 GXV327689:GXY327689 HHR327689:HHU327689 HRN327689:HRQ327689 IBJ327689:IBM327689 ILF327689:ILI327689 IVB327689:IVE327689 JEX327689:JFA327689 JOT327689:JOW327689 JYP327689:JYS327689 KIL327689:KIO327689 KSH327689:KSK327689 LCD327689:LCG327689 LLZ327689:LMC327689 LVV327689:LVY327689 MFR327689:MFU327689 MPN327689:MPQ327689 MZJ327689:MZM327689 NJF327689:NJI327689 NTB327689:NTE327689 OCX327689:ODA327689 OMT327689:OMW327689 OWP327689:OWS327689 PGL327689:PGO327689 PQH327689:PQK327689 QAD327689:QAG327689 QJZ327689:QKC327689 QTV327689:QTY327689 RDR327689:RDU327689 RNN327689:RNQ327689 RXJ327689:RXM327689 SHF327689:SHI327689 SRB327689:SRE327689 TAX327689:TBA327689 TKT327689:TKW327689 TUP327689:TUS327689 UEL327689:UEO327689 UOH327689:UOK327689 UYD327689:UYG327689 VHZ327689:VIC327689 VRV327689:VRY327689 WBR327689:WBU327689 WLN327689:WLQ327689 WVJ327689:WVM327689 B393225:E393225 IX393225:JA393225 ST393225:SW393225 ACP393225:ACS393225 AML393225:AMO393225 AWH393225:AWK393225 BGD393225:BGG393225 BPZ393225:BQC393225 BZV393225:BZY393225 CJR393225:CJU393225 CTN393225:CTQ393225 DDJ393225:DDM393225 DNF393225:DNI393225 DXB393225:DXE393225 EGX393225:EHA393225 EQT393225:EQW393225 FAP393225:FAS393225 FKL393225:FKO393225 FUH393225:FUK393225 GED393225:GEG393225 GNZ393225:GOC393225 GXV393225:GXY393225 HHR393225:HHU393225 HRN393225:HRQ393225 IBJ393225:IBM393225 ILF393225:ILI393225 IVB393225:IVE393225 JEX393225:JFA393225 JOT393225:JOW393225 JYP393225:JYS393225 KIL393225:KIO393225 KSH393225:KSK393225 LCD393225:LCG393225 LLZ393225:LMC393225 LVV393225:LVY393225 MFR393225:MFU393225 MPN393225:MPQ393225 MZJ393225:MZM393225 NJF393225:NJI393225 NTB393225:NTE393225 OCX393225:ODA393225 OMT393225:OMW393225 OWP393225:OWS393225 PGL393225:PGO393225 PQH393225:PQK393225 QAD393225:QAG393225 QJZ393225:QKC393225 QTV393225:QTY393225 RDR393225:RDU393225 RNN393225:RNQ393225 RXJ393225:RXM393225 SHF393225:SHI393225 SRB393225:SRE393225 TAX393225:TBA393225 TKT393225:TKW393225 TUP393225:TUS393225 UEL393225:UEO393225 UOH393225:UOK393225 UYD393225:UYG393225 VHZ393225:VIC393225 VRV393225:VRY393225 WBR393225:WBU393225 WLN393225:WLQ393225 WVJ393225:WVM393225 B458761:E458761 IX458761:JA458761 ST458761:SW458761 ACP458761:ACS458761 AML458761:AMO458761 AWH458761:AWK458761 BGD458761:BGG458761 BPZ458761:BQC458761 BZV458761:BZY458761 CJR458761:CJU458761 CTN458761:CTQ458761 DDJ458761:DDM458761 DNF458761:DNI458761 DXB458761:DXE458761 EGX458761:EHA458761 EQT458761:EQW458761 FAP458761:FAS458761 FKL458761:FKO458761 FUH458761:FUK458761 GED458761:GEG458761 GNZ458761:GOC458761 GXV458761:GXY458761 HHR458761:HHU458761 HRN458761:HRQ458761 IBJ458761:IBM458761 ILF458761:ILI458761 IVB458761:IVE458761 JEX458761:JFA458761 JOT458761:JOW458761 JYP458761:JYS458761 KIL458761:KIO458761 KSH458761:KSK458761 LCD458761:LCG458761 LLZ458761:LMC458761 LVV458761:LVY458761 MFR458761:MFU458761 MPN458761:MPQ458761 MZJ458761:MZM458761 NJF458761:NJI458761 NTB458761:NTE458761 OCX458761:ODA458761 OMT458761:OMW458761 OWP458761:OWS458761 PGL458761:PGO458761 PQH458761:PQK458761 QAD458761:QAG458761 QJZ458761:QKC458761 QTV458761:QTY458761 RDR458761:RDU458761 RNN458761:RNQ458761 RXJ458761:RXM458761 SHF458761:SHI458761 SRB458761:SRE458761 TAX458761:TBA458761 TKT458761:TKW458761 TUP458761:TUS458761 UEL458761:UEO458761 UOH458761:UOK458761 UYD458761:UYG458761 VHZ458761:VIC458761 VRV458761:VRY458761 WBR458761:WBU458761 WLN458761:WLQ458761 WVJ458761:WVM458761 B524297:E524297 IX524297:JA524297 ST524297:SW524297 ACP524297:ACS524297 AML524297:AMO524297 AWH524297:AWK524297 BGD524297:BGG524297 BPZ524297:BQC524297 BZV524297:BZY524297 CJR524297:CJU524297 CTN524297:CTQ524297 DDJ524297:DDM524297 DNF524297:DNI524297 DXB524297:DXE524297 EGX524297:EHA524297 EQT524297:EQW524297 FAP524297:FAS524297 FKL524297:FKO524297 FUH524297:FUK524297 GED524297:GEG524297 GNZ524297:GOC524297 GXV524297:GXY524297 HHR524297:HHU524297 HRN524297:HRQ524297 IBJ524297:IBM524297 ILF524297:ILI524297 IVB524297:IVE524297 JEX524297:JFA524297 JOT524297:JOW524297 JYP524297:JYS524297 KIL524297:KIO524297 KSH524297:KSK524297 LCD524297:LCG524297 LLZ524297:LMC524297 LVV524297:LVY524297 MFR524297:MFU524297 MPN524297:MPQ524297 MZJ524297:MZM524297 NJF524297:NJI524297 NTB524297:NTE524297 OCX524297:ODA524297 OMT524297:OMW524297 OWP524297:OWS524297 PGL524297:PGO524297 PQH524297:PQK524297 QAD524297:QAG524297 QJZ524297:QKC524297 QTV524297:QTY524297 RDR524297:RDU524297 RNN524297:RNQ524297 RXJ524297:RXM524297 SHF524297:SHI524297 SRB524297:SRE524297 TAX524297:TBA524297 TKT524297:TKW524297 TUP524297:TUS524297 UEL524297:UEO524297 UOH524297:UOK524297 UYD524297:UYG524297 VHZ524297:VIC524297 VRV524297:VRY524297 WBR524297:WBU524297 WLN524297:WLQ524297 WVJ524297:WVM524297 B589833:E589833 IX589833:JA589833 ST589833:SW589833 ACP589833:ACS589833 AML589833:AMO589833 AWH589833:AWK589833 BGD589833:BGG589833 BPZ589833:BQC589833 BZV589833:BZY589833 CJR589833:CJU589833 CTN589833:CTQ589833 DDJ589833:DDM589833 DNF589833:DNI589833 DXB589833:DXE589833 EGX589833:EHA589833 EQT589833:EQW589833 FAP589833:FAS589833 FKL589833:FKO589833 FUH589833:FUK589833 GED589833:GEG589833 GNZ589833:GOC589833 GXV589833:GXY589833 HHR589833:HHU589833 HRN589833:HRQ589833 IBJ589833:IBM589833 ILF589833:ILI589833 IVB589833:IVE589833 JEX589833:JFA589833 JOT589833:JOW589833 JYP589833:JYS589833 KIL589833:KIO589833 KSH589833:KSK589833 LCD589833:LCG589833 LLZ589833:LMC589833 LVV589833:LVY589833 MFR589833:MFU589833 MPN589833:MPQ589833 MZJ589833:MZM589833 NJF589833:NJI589833 NTB589833:NTE589833 OCX589833:ODA589833 OMT589833:OMW589833 OWP589833:OWS589833 PGL589833:PGO589833 PQH589833:PQK589833 QAD589833:QAG589833 QJZ589833:QKC589833 QTV589833:QTY589833 RDR589833:RDU589833 RNN589833:RNQ589833 RXJ589833:RXM589833 SHF589833:SHI589833 SRB589833:SRE589833 TAX589833:TBA589833 TKT589833:TKW589833 TUP589833:TUS589833 UEL589833:UEO589833 UOH589833:UOK589833 UYD589833:UYG589833 VHZ589833:VIC589833 VRV589833:VRY589833 WBR589833:WBU589833 WLN589833:WLQ589833 WVJ589833:WVM589833 B655369:E655369 IX655369:JA655369 ST655369:SW655369 ACP655369:ACS655369 AML655369:AMO655369 AWH655369:AWK655369 BGD655369:BGG655369 BPZ655369:BQC655369 BZV655369:BZY655369 CJR655369:CJU655369 CTN655369:CTQ655369 DDJ655369:DDM655369 DNF655369:DNI655369 DXB655369:DXE655369 EGX655369:EHA655369 EQT655369:EQW655369 FAP655369:FAS655369 FKL655369:FKO655369 FUH655369:FUK655369 GED655369:GEG655369 GNZ655369:GOC655369 GXV655369:GXY655369 HHR655369:HHU655369 HRN655369:HRQ655369 IBJ655369:IBM655369 ILF655369:ILI655369 IVB655369:IVE655369 JEX655369:JFA655369 JOT655369:JOW655369 JYP655369:JYS655369 KIL655369:KIO655369 KSH655369:KSK655369 LCD655369:LCG655369 LLZ655369:LMC655369 LVV655369:LVY655369 MFR655369:MFU655369 MPN655369:MPQ655369 MZJ655369:MZM655369 NJF655369:NJI655369 NTB655369:NTE655369 OCX655369:ODA655369 OMT655369:OMW655369 OWP655369:OWS655369 PGL655369:PGO655369 PQH655369:PQK655369 QAD655369:QAG655369 QJZ655369:QKC655369 QTV655369:QTY655369 RDR655369:RDU655369 RNN655369:RNQ655369 RXJ655369:RXM655369 SHF655369:SHI655369 SRB655369:SRE655369 TAX655369:TBA655369 TKT655369:TKW655369 TUP655369:TUS655369 UEL655369:UEO655369 UOH655369:UOK655369 UYD655369:UYG655369 VHZ655369:VIC655369 VRV655369:VRY655369 WBR655369:WBU655369 WLN655369:WLQ655369 WVJ655369:WVM655369 B720905:E720905 IX720905:JA720905 ST720905:SW720905 ACP720905:ACS720905 AML720905:AMO720905 AWH720905:AWK720905 BGD720905:BGG720905 BPZ720905:BQC720905 BZV720905:BZY720905 CJR720905:CJU720905 CTN720905:CTQ720905 DDJ720905:DDM720905 DNF720905:DNI720905 DXB720905:DXE720905 EGX720905:EHA720905 EQT720905:EQW720905 FAP720905:FAS720905 FKL720905:FKO720905 FUH720905:FUK720905 GED720905:GEG720905 GNZ720905:GOC720905 GXV720905:GXY720905 HHR720905:HHU720905 HRN720905:HRQ720905 IBJ720905:IBM720905 ILF720905:ILI720905 IVB720905:IVE720905 JEX720905:JFA720905 JOT720905:JOW720905 JYP720905:JYS720905 KIL720905:KIO720905 KSH720905:KSK720905 LCD720905:LCG720905 LLZ720905:LMC720905 LVV720905:LVY720905 MFR720905:MFU720905 MPN720905:MPQ720905 MZJ720905:MZM720905 NJF720905:NJI720905 NTB720905:NTE720905 OCX720905:ODA720905 OMT720905:OMW720905 OWP720905:OWS720905 PGL720905:PGO720905 PQH720905:PQK720905 QAD720905:QAG720905 QJZ720905:QKC720905 QTV720905:QTY720905 RDR720905:RDU720905 RNN720905:RNQ720905 RXJ720905:RXM720905 SHF720905:SHI720905 SRB720905:SRE720905 TAX720905:TBA720905 TKT720905:TKW720905 TUP720905:TUS720905 UEL720905:UEO720905 UOH720905:UOK720905 UYD720905:UYG720905 VHZ720905:VIC720905 VRV720905:VRY720905 WBR720905:WBU720905 WLN720905:WLQ720905 WVJ720905:WVM720905 B786441:E786441 IX786441:JA786441 ST786441:SW786441 ACP786441:ACS786441 AML786441:AMO786441 AWH786441:AWK786441 BGD786441:BGG786441 BPZ786441:BQC786441 BZV786441:BZY786441 CJR786441:CJU786441 CTN786441:CTQ786441 DDJ786441:DDM786441 DNF786441:DNI786441 DXB786441:DXE786441 EGX786441:EHA786441 EQT786441:EQW786441 FAP786441:FAS786441 FKL786441:FKO786441 FUH786441:FUK786441 GED786441:GEG786441 GNZ786441:GOC786441 GXV786441:GXY786441 HHR786441:HHU786441 HRN786441:HRQ786441 IBJ786441:IBM786441 ILF786441:ILI786441 IVB786441:IVE786441 JEX786441:JFA786441 JOT786441:JOW786441 JYP786441:JYS786441 KIL786441:KIO786441 KSH786441:KSK786441 LCD786441:LCG786441 LLZ786441:LMC786441 LVV786441:LVY786441 MFR786441:MFU786441 MPN786441:MPQ786441 MZJ786441:MZM786441 NJF786441:NJI786441 NTB786441:NTE786441 OCX786441:ODA786441 OMT786441:OMW786441 OWP786441:OWS786441 PGL786441:PGO786441 PQH786441:PQK786441 QAD786441:QAG786441 QJZ786441:QKC786441 QTV786441:QTY786441 RDR786441:RDU786441 RNN786441:RNQ786441 RXJ786441:RXM786441 SHF786441:SHI786441 SRB786441:SRE786441 TAX786441:TBA786441 TKT786441:TKW786441 TUP786441:TUS786441 UEL786441:UEO786441 UOH786441:UOK786441 UYD786441:UYG786441 VHZ786441:VIC786441 VRV786441:VRY786441 WBR786441:WBU786441 WLN786441:WLQ786441 WVJ786441:WVM786441 B851977:E851977 IX851977:JA851977 ST851977:SW851977 ACP851977:ACS851977 AML851977:AMO851977 AWH851977:AWK851977 BGD851977:BGG851977 BPZ851977:BQC851977 BZV851977:BZY851977 CJR851977:CJU851977 CTN851977:CTQ851977 DDJ851977:DDM851977 DNF851977:DNI851977 DXB851977:DXE851977 EGX851977:EHA851977 EQT851977:EQW851977 FAP851977:FAS851977 FKL851977:FKO851977 FUH851977:FUK851977 GED851977:GEG851977 GNZ851977:GOC851977 GXV851977:GXY851977 HHR851977:HHU851977 HRN851977:HRQ851977 IBJ851977:IBM851977 ILF851977:ILI851977 IVB851977:IVE851977 JEX851977:JFA851977 JOT851977:JOW851977 JYP851977:JYS851977 KIL851977:KIO851977 KSH851977:KSK851977 LCD851977:LCG851977 LLZ851977:LMC851977 LVV851977:LVY851977 MFR851977:MFU851977 MPN851977:MPQ851977 MZJ851977:MZM851977 NJF851977:NJI851977 NTB851977:NTE851977 OCX851977:ODA851977 OMT851977:OMW851977 OWP851977:OWS851977 PGL851977:PGO851977 PQH851977:PQK851977 QAD851977:QAG851977 QJZ851977:QKC851977 QTV851977:QTY851977 RDR851977:RDU851977 RNN851977:RNQ851977 RXJ851977:RXM851977 SHF851977:SHI851977 SRB851977:SRE851977 TAX851977:TBA851977 TKT851977:TKW851977 TUP851977:TUS851977 UEL851977:UEO851977 UOH851977:UOK851977 UYD851977:UYG851977 VHZ851977:VIC851977 VRV851977:VRY851977 WBR851977:WBU851977 WLN851977:WLQ851977 WVJ851977:WVM851977 B917513:E917513 IX917513:JA917513 ST917513:SW917513 ACP917513:ACS917513 AML917513:AMO917513 AWH917513:AWK917513 BGD917513:BGG917513 BPZ917513:BQC917513 BZV917513:BZY917513 CJR917513:CJU917513 CTN917513:CTQ917513 DDJ917513:DDM917513 DNF917513:DNI917513 DXB917513:DXE917513 EGX917513:EHA917513 EQT917513:EQW917513 FAP917513:FAS917513 FKL917513:FKO917513 FUH917513:FUK917513 GED917513:GEG917513 GNZ917513:GOC917513 GXV917513:GXY917513 HHR917513:HHU917513 HRN917513:HRQ917513 IBJ917513:IBM917513 ILF917513:ILI917513 IVB917513:IVE917513 JEX917513:JFA917513 JOT917513:JOW917513 JYP917513:JYS917513 KIL917513:KIO917513 KSH917513:KSK917513 LCD917513:LCG917513 LLZ917513:LMC917513 LVV917513:LVY917513 MFR917513:MFU917513 MPN917513:MPQ917513 MZJ917513:MZM917513 NJF917513:NJI917513 NTB917513:NTE917513 OCX917513:ODA917513 OMT917513:OMW917513 OWP917513:OWS917513 PGL917513:PGO917513 PQH917513:PQK917513 QAD917513:QAG917513 QJZ917513:QKC917513 QTV917513:QTY917513 RDR917513:RDU917513 RNN917513:RNQ917513 RXJ917513:RXM917513 SHF917513:SHI917513 SRB917513:SRE917513 TAX917513:TBA917513 TKT917513:TKW917513 TUP917513:TUS917513 UEL917513:UEO917513 UOH917513:UOK917513 UYD917513:UYG917513 VHZ917513:VIC917513 VRV917513:VRY917513 WBR917513:WBU917513 WLN917513:WLQ917513 WVJ917513:WVM917513 B983049:E983049 IX983049:JA983049 ST983049:SW983049 ACP983049:ACS983049 AML983049:AMO983049 AWH983049:AWK983049 BGD983049:BGG983049 BPZ983049:BQC983049 BZV983049:BZY983049 CJR983049:CJU983049 CTN983049:CTQ983049 DDJ983049:DDM983049 DNF983049:DNI983049 DXB983049:DXE983049 EGX983049:EHA983049 EQT983049:EQW983049 FAP983049:FAS983049 FKL983049:FKO983049 FUH983049:FUK983049 GED983049:GEG983049 GNZ983049:GOC983049 GXV983049:GXY983049 HHR983049:HHU983049 HRN983049:HRQ983049 IBJ983049:IBM983049 ILF983049:ILI983049 IVB983049:IVE983049 JEX983049:JFA983049 JOT983049:JOW983049 JYP983049:JYS983049 KIL983049:KIO983049 KSH983049:KSK983049 LCD983049:LCG983049 LLZ983049:LMC983049 LVV983049:LVY983049 MFR983049:MFU983049 MPN983049:MPQ983049 MZJ983049:MZM983049 NJF983049:NJI983049 NTB983049:NTE983049 OCX983049:ODA983049 OMT983049:OMW983049 OWP983049:OWS983049 PGL983049:PGO983049 PQH983049:PQK983049 QAD983049:QAG983049 QJZ983049:QKC983049 QTV983049:QTY983049 RDR983049:RDU983049 RNN983049:RNQ983049 RXJ983049:RXM983049 SHF983049:SHI983049 SRB983049:SRE983049 TAX983049:TBA983049 TKT983049:TKW983049 TUP983049:TUS983049 UEL983049:UEO983049 UOH983049:UOK983049 UYD983049:UYG983049 VHZ983049:VIC983049 VRV983049:VRY983049 WBR983049:WBU983049 WLN983049:WLQ983049 WVJ983049:WVM983049">
      <formula1>0</formula1>
      <formula2>1</formula2>
    </dataValidation>
    <dataValidation type="list" allowBlank="1" showInputMessage="1" showErrorMessage="1" errorTitle="ERRO" error="ESCOLHA ENTRE OS TIPOS DE OBRA ESPECIFICADOS !" sqref="B8:E8 IX8:JA8 ST8:SW8 ACP8:ACS8 AML8:AMO8 AWH8:AWK8 BGD8:BGG8 BPZ8:BQC8 BZV8:BZY8 CJR8:CJU8 CTN8:CTQ8 DDJ8:DDM8 DNF8:DNI8 DXB8:DXE8 EGX8:EHA8 EQT8:EQW8 FAP8:FAS8 FKL8:FKO8 FUH8:FUK8 GED8:GEG8 GNZ8:GOC8 GXV8:GXY8 HHR8:HHU8 HRN8:HRQ8 IBJ8:IBM8 ILF8:ILI8 IVB8:IVE8 JEX8:JFA8 JOT8:JOW8 JYP8:JYS8 KIL8:KIO8 KSH8:KSK8 LCD8:LCG8 LLZ8:LMC8 LVV8:LVY8 MFR8:MFU8 MPN8:MPQ8 MZJ8:MZM8 NJF8:NJI8 NTB8:NTE8 OCX8:ODA8 OMT8:OMW8 OWP8:OWS8 PGL8:PGO8 PQH8:PQK8 QAD8:QAG8 QJZ8:QKC8 QTV8:QTY8 RDR8:RDU8 RNN8:RNQ8 RXJ8:RXM8 SHF8:SHI8 SRB8:SRE8 TAX8:TBA8 TKT8:TKW8 TUP8:TUS8 UEL8:UEO8 UOH8:UOK8 UYD8:UYG8 VHZ8:VIC8 VRV8:VRY8 WBR8:WBU8 WLN8:WLQ8 WVJ8:WVM8 B65544:E65544 IX65544:JA65544 ST65544:SW65544 ACP65544:ACS65544 AML65544:AMO65544 AWH65544:AWK65544 BGD65544:BGG65544 BPZ65544:BQC65544 BZV65544:BZY65544 CJR65544:CJU65544 CTN65544:CTQ65544 DDJ65544:DDM65544 DNF65544:DNI65544 DXB65544:DXE65544 EGX65544:EHA65544 EQT65544:EQW65544 FAP65544:FAS65544 FKL65544:FKO65544 FUH65544:FUK65544 GED65544:GEG65544 GNZ65544:GOC65544 GXV65544:GXY65544 HHR65544:HHU65544 HRN65544:HRQ65544 IBJ65544:IBM65544 ILF65544:ILI65544 IVB65544:IVE65544 JEX65544:JFA65544 JOT65544:JOW65544 JYP65544:JYS65544 KIL65544:KIO65544 KSH65544:KSK65544 LCD65544:LCG65544 LLZ65544:LMC65544 LVV65544:LVY65544 MFR65544:MFU65544 MPN65544:MPQ65544 MZJ65544:MZM65544 NJF65544:NJI65544 NTB65544:NTE65544 OCX65544:ODA65544 OMT65544:OMW65544 OWP65544:OWS65544 PGL65544:PGO65544 PQH65544:PQK65544 QAD65544:QAG65544 QJZ65544:QKC65544 QTV65544:QTY65544 RDR65544:RDU65544 RNN65544:RNQ65544 RXJ65544:RXM65544 SHF65544:SHI65544 SRB65544:SRE65544 TAX65544:TBA65544 TKT65544:TKW65544 TUP65544:TUS65544 UEL65544:UEO65544 UOH65544:UOK65544 UYD65544:UYG65544 VHZ65544:VIC65544 VRV65544:VRY65544 WBR65544:WBU65544 WLN65544:WLQ65544 WVJ65544:WVM65544 B131080:E131080 IX131080:JA131080 ST131080:SW131080 ACP131080:ACS131080 AML131080:AMO131080 AWH131080:AWK131080 BGD131080:BGG131080 BPZ131080:BQC131080 BZV131080:BZY131080 CJR131080:CJU131080 CTN131080:CTQ131080 DDJ131080:DDM131080 DNF131080:DNI131080 DXB131080:DXE131080 EGX131080:EHA131080 EQT131080:EQW131080 FAP131080:FAS131080 FKL131080:FKO131080 FUH131080:FUK131080 GED131080:GEG131080 GNZ131080:GOC131080 GXV131080:GXY131080 HHR131080:HHU131080 HRN131080:HRQ131080 IBJ131080:IBM131080 ILF131080:ILI131080 IVB131080:IVE131080 JEX131080:JFA131080 JOT131080:JOW131080 JYP131080:JYS131080 KIL131080:KIO131080 KSH131080:KSK131080 LCD131080:LCG131080 LLZ131080:LMC131080 LVV131080:LVY131080 MFR131080:MFU131080 MPN131080:MPQ131080 MZJ131080:MZM131080 NJF131080:NJI131080 NTB131080:NTE131080 OCX131080:ODA131080 OMT131080:OMW131080 OWP131080:OWS131080 PGL131080:PGO131080 PQH131080:PQK131080 QAD131080:QAG131080 QJZ131080:QKC131080 QTV131080:QTY131080 RDR131080:RDU131080 RNN131080:RNQ131080 RXJ131080:RXM131080 SHF131080:SHI131080 SRB131080:SRE131080 TAX131080:TBA131080 TKT131080:TKW131080 TUP131080:TUS131080 UEL131080:UEO131080 UOH131080:UOK131080 UYD131080:UYG131080 VHZ131080:VIC131080 VRV131080:VRY131080 WBR131080:WBU131080 WLN131080:WLQ131080 WVJ131080:WVM131080 B196616:E196616 IX196616:JA196616 ST196616:SW196616 ACP196616:ACS196616 AML196616:AMO196616 AWH196616:AWK196616 BGD196616:BGG196616 BPZ196616:BQC196616 BZV196616:BZY196616 CJR196616:CJU196616 CTN196616:CTQ196616 DDJ196616:DDM196616 DNF196616:DNI196616 DXB196616:DXE196616 EGX196616:EHA196616 EQT196616:EQW196616 FAP196616:FAS196616 FKL196616:FKO196616 FUH196616:FUK196616 GED196616:GEG196616 GNZ196616:GOC196616 GXV196616:GXY196616 HHR196616:HHU196616 HRN196616:HRQ196616 IBJ196616:IBM196616 ILF196616:ILI196616 IVB196616:IVE196616 JEX196616:JFA196616 JOT196616:JOW196616 JYP196616:JYS196616 KIL196616:KIO196616 KSH196616:KSK196616 LCD196616:LCG196616 LLZ196616:LMC196616 LVV196616:LVY196616 MFR196616:MFU196616 MPN196616:MPQ196616 MZJ196616:MZM196616 NJF196616:NJI196616 NTB196616:NTE196616 OCX196616:ODA196616 OMT196616:OMW196616 OWP196616:OWS196616 PGL196616:PGO196616 PQH196616:PQK196616 QAD196616:QAG196616 QJZ196616:QKC196616 QTV196616:QTY196616 RDR196616:RDU196616 RNN196616:RNQ196616 RXJ196616:RXM196616 SHF196616:SHI196616 SRB196616:SRE196616 TAX196616:TBA196616 TKT196616:TKW196616 TUP196616:TUS196616 UEL196616:UEO196616 UOH196616:UOK196616 UYD196616:UYG196616 VHZ196616:VIC196616 VRV196616:VRY196616 WBR196616:WBU196616 WLN196616:WLQ196616 WVJ196616:WVM196616 B262152:E262152 IX262152:JA262152 ST262152:SW262152 ACP262152:ACS262152 AML262152:AMO262152 AWH262152:AWK262152 BGD262152:BGG262152 BPZ262152:BQC262152 BZV262152:BZY262152 CJR262152:CJU262152 CTN262152:CTQ262152 DDJ262152:DDM262152 DNF262152:DNI262152 DXB262152:DXE262152 EGX262152:EHA262152 EQT262152:EQW262152 FAP262152:FAS262152 FKL262152:FKO262152 FUH262152:FUK262152 GED262152:GEG262152 GNZ262152:GOC262152 GXV262152:GXY262152 HHR262152:HHU262152 HRN262152:HRQ262152 IBJ262152:IBM262152 ILF262152:ILI262152 IVB262152:IVE262152 JEX262152:JFA262152 JOT262152:JOW262152 JYP262152:JYS262152 KIL262152:KIO262152 KSH262152:KSK262152 LCD262152:LCG262152 LLZ262152:LMC262152 LVV262152:LVY262152 MFR262152:MFU262152 MPN262152:MPQ262152 MZJ262152:MZM262152 NJF262152:NJI262152 NTB262152:NTE262152 OCX262152:ODA262152 OMT262152:OMW262152 OWP262152:OWS262152 PGL262152:PGO262152 PQH262152:PQK262152 QAD262152:QAG262152 QJZ262152:QKC262152 QTV262152:QTY262152 RDR262152:RDU262152 RNN262152:RNQ262152 RXJ262152:RXM262152 SHF262152:SHI262152 SRB262152:SRE262152 TAX262152:TBA262152 TKT262152:TKW262152 TUP262152:TUS262152 UEL262152:UEO262152 UOH262152:UOK262152 UYD262152:UYG262152 VHZ262152:VIC262152 VRV262152:VRY262152 WBR262152:WBU262152 WLN262152:WLQ262152 WVJ262152:WVM262152 B327688:E327688 IX327688:JA327688 ST327688:SW327688 ACP327688:ACS327688 AML327688:AMO327688 AWH327688:AWK327688 BGD327688:BGG327688 BPZ327688:BQC327688 BZV327688:BZY327688 CJR327688:CJU327688 CTN327688:CTQ327688 DDJ327688:DDM327688 DNF327688:DNI327688 DXB327688:DXE327688 EGX327688:EHA327688 EQT327688:EQW327688 FAP327688:FAS327688 FKL327688:FKO327688 FUH327688:FUK327688 GED327688:GEG327688 GNZ327688:GOC327688 GXV327688:GXY327688 HHR327688:HHU327688 HRN327688:HRQ327688 IBJ327688:IBM327688 ILF327688:ILI327688 IVB327688:IVE327688 JEX327688:JFA327688 JOT327688:JOW327688 JYP327688:JYS327688 KIL327688:KIO327688 KSH327688:KSK327688 LCD327688:LCG327688 LLZ327688:LMC327688 LVV327688:LVY327688 MFR327688:MFU327688 MPN327688:MPQ327688 MZJ327688:MZM327688 NJF327688:NJI327688 NTB327688:NTE327688 OCX327688:ODA327688 OMT327688:OMW327688 OWP327688:OWS327688 PGL327688:PGO327688 PQH327688:PQK327688 QAD327688:QAG327688 QJZ327688:QKC327688 QTV327688:QTY327688 RDR327688:RDU327688 RNN327688:RNQ327688 RXJ327688:RXM327688 SHF327688:SHI327688 SRB327688:SRE327688 TAX327688:TBA327688 TKT327688:TKW327688 TUP327688:TUS327688 UEL327688:UEO327688 UOH327688:UOK327688 UYD327688:UYG327688 VHZ327688:VIC327688 VRV327688:VRY327688 WBR327688:WBU327688 WLN327688:WLQ327688 WVJ327688:WVM327688 B393224:E393224 IX393224:JA393224 ST393224:SW393224 ACP393224:ACS393224 AML393224:AMO393224 AWH393224:AWK393224 BGD393224:BGG393224 BPZ393224:BQC393224 BZV393224:BZY393224 CJR393224:CJU393224 CTN393224:CTQ393224 DDJ393224:DDM393224 DNF393224:DNI393224 DXB393224:DXE393224 EGX393224:EHA393224 EQT393224:EQW393224 FAP393224:FAS393224 FKL393224:FKO393224 FUH393224:FUK393224 GED393224:GEG393224 GNZ393224:GOC393224 GXV393224:GXY393224 HHR393224:HHU393224 HRN393224:HRQ393224 IBJ393224:IBM393224 ILF393224:ILI393224 IVB393224:IVE393224 JEX393224:JFA393224 JOT393224:JOW393224 JYP393224:JYS393224 KIL393224:KIO393224 KSH393224:KSK393224 LCD393224:LCG393224 LLZ393224:LMC393224 LVV393224:LVY393224 MFR393224:MFU393224 MPN393224:MPQ393224 MZJ393224:MZM393224 NJF393224:NJI393224 NTB393224:NTE393224 OCX393224:ODA393224 OMT393224:OMW393224 OWP393224:OWS393224 PGL393224:PGO393224 PQH393224:PQK393224 QAD393224:QAG393224 QJZ393224:QKC393224 QTV393224:QTY393224 RDR393224:RDU393224 RNN393224:RNQ393224 RXJ393224:RXM393224 SHF393224:SHI393224 SRB393224:SRE393224 TAX393224:TBA393224 TKT393224:TKW393224 TUP393224:TUS393224 UEL393224:UEO393224 UOH393224:UOK393224 UYD393224:UYG393224 VHZ393224:VIC393224 VRV393224:VRY393224 WBR393224:WBU393224 WLN393224:WLQ393224 WVJ393224:WVM393224 B458760:E458760 IX458760:JA458760 ST458760:SW458760 ACP458760:ACS458760 AML458760:AMO458760 AWH458760:AWK458760 BGD458760:BGG458760 BPZ458760:BQC458760 BZV458760:BZY458760 CJR458760:CJU458760 CTN458760:CTQ458760 DDJ458760:DDM458760 DNF458760:DNI458760 DXB458760:DXE458760 EGX458760:EHA458760 EQT458760:EQW458760 FAP458760:FAS458760 FKL458760:FKO458760 FUH458760:FUK458760 GED458760:GEG458760 GNZ458760:GOC458760 GXV458760:GXY458760 HHR458760:HHU458760 HRN458760:HRQ458760 IBJ458760:IBM458760 ILF458760:ILI458760 IVB458760:IVE458760 JEX458760:JFA458760 JOT458760:JOW458760 JYP458760:JYS458760 KIL458760:KIO458760 KSH458760:KSK458760 LCD458760:LCG458760 LLZ458760:LMC458760 LVV458760:LVY458760 MFR458760:MFU458760 MPN458760:MPQ458760 MZJ458760:MZM458760 NJF458760:NJI458760 NTB458760:NTE458760 OCX458760:ODA458760 OMT458760:OMW458760 OWP458760:OWS458760 PGL458760:PGO458760 PQH458760:PQK458760 QAD458760:QAG458760 QJZ458760:QKC458760 QTV458760:QTY458760 RDR458760:RDU458760 RNN458760:RNQ458760 RXJ458760:RXM458760 SHF458760:SHI458760 SRB458760:SRE458760 TAX458760:TBA458760 TKT458760:TKW458760 TUP458760:TUS458760 UEL458760:UEO458760 UOH458760:UOK458760 UYD458760:UYG458760 VHZ458760:VIC458760 VRV458760:VRY458760 WBR458760:WBU458760 WLN458760:WLQ458760 WVJ458760:WVM458760 B524296:E524296 IX524296:JA524296 ST524296:SW524296 ACP524296:ACS524296 AML524296:AMO524296 AWH524296:AWK524296 BGD524296:BGG524296 BPZ524296:BQC524296 BZV524296:BZY524296 CJR524296:CJU524296 CTN524296:CTQ524296 DDJ524296:DDM524296 DNF524296:DNI524296 DXB524296:DXE524296 EGX524296:EHA524296 EQT524296:EQW524296 FAP524296:FAS524296 FKL524296:FKO524296 FUH524296:FUK524296 GED524296:GEG524296 GNZ524296:GOC524296 GXV524296:GXY524296 HHR524296:HHU524296 HRN524296:HRQ524296 IBJ524296:IBM524296 ILF524296:ILI524296 IVB524296:IVE524296 JEX524296:JFA524296 JOT524296:JOW524296 JYP524296:JYS524296 KIL524296:KIO524296 KSH524296:KSK524296 LCD524296:LCG524296 LLZ524296:LMC524296 LVV524296:LVY524296 MFR524296:MFU524296 MPN524296:MPQ524296 MZJ524296:MZM524296 NJF524296:NJI524296 NTB524296:NTE524296 OCX524296:ODA524296 OMT524296:OMW524296 OWP524296:OWS524296 PGL524296:PGO524296 PQH524296:PQK524296 QAD524296:QAG524296 QJZ524296:QKC524296 QTV524296:QTY524296 RDR524296:RDU524296 RNN524296:RNQ524296 RXJ524296:RXM524296 SHF524296:SHI524296 SRB524296:SRE524296 TAX524296:TBA524296 TKT524296:TKW524296 TUP524296:TUS524296 UEL524296:UEO524296 UOH524296:UOK524296 UYD524296:UYG524296 VHZ524296:VIC524296 VRV524296:VRY524296 WBR524296:WBU524296 WLN524296:WLQ524296 WVJ524296:WVM524296 B589832:E589832 IX589832:JA589832 ST589832:SW589832 ACP589832:ACS589832 AML589832:AMO589832 AWH589832:AWK589832 BGD589832:BGG589832 BPZ589832:BQC589832 BZV589832:BZY589832 CJR589832:CJU589832 CTN589832:CTQ589832 DDJ589832:DDM589832 DNF589832:DNI589832 DXB589832:DXE589832 EGX589832:EHA589832 EQT589832:EQW589832 FAP589832:FAS589832 FKL589832:FKO589832 FUH589832:FUK589832 GED589832:GEG589832 GNZ589832:GOC589832 GXV589832:GXY589832 HHR589832:HHU589832 HRN589832:HRQ589832 IBJ589832:IBM589832 ILF589832:ILI589832 IVB589832:IVE589832 JEX589832:JFA589832 JOT589832:JOW589832 JYP589832:JYS589832 KIL589832:KIO589832 KSH589832:KSK589832 LCD589832:LCG589832 LLZ589832:LMC589832 LVV589832:LVY589832 MFR589832:MFU589832 MPN589832:MPQ589832 MZJ589832:MZM589832 NJF589832:NJI589832 NTB589832:NTE589832 OCX589832:ODA589832 OMT589832:OMW589832 OWP589832:OWS589832 PGL589832:PGO589832 PQH589832:PQK589832 QAD589832:QAG589832 QJZ589832:QKC589832 QTV589832:QTY589832 RDR589832:RDU589832 RNN589832:RNQ589832 RXJ589832:RXM589832 SHF589832:SHI589832 SRB589832:SRE589832 TAX589832:TBA589832 TKT589832:TKW589832 TUP589832:TUS589832 UEL589832:UEO589832 UOH589832:UOK589832 UYD589832:UYG589832 VHZ589832:VIC589832 VRV589832:VRY589832 WBR589832:WBU589832 WLN589832:WLQ589832 WVJ589832:WVM589832 B655368:E655368 IX655368:JA655368 ST655368:SW655368 ACP655368:ACS655368 AML655368:AMO655368 AWH655368:AWK655368 BGD655368:BGG655368 BPZ655368:BQC655368 BZV655368:BZY655368 CJR655368:CJU655368 CTN655368:CTQ655368 DDJ655368:DDM655368 DNF655368:DNI655368 DXB655368:DXE655368 EGX655368:EHA655368 EQT655368:EQW655368 FAP655368:FAS655368 FKL655368:FKO655368 FUH655368:FUK655368 GED655368:GEG655368 GNZ655368:GOC655368 GXV655368:GXY655368 HHR655368:HHU655368 HRN655368:HRQ655368 IBJ655368:IBM655368 ILF655368:ILI655368 IVB655368:IVE655368 JEX655368:JFA655368 JOT655368:JOW655368 JYP655368:JYS655368 KIL655368:KIO655368 KSH655368:KSK655368 LCD655368:LCG655368 LLZ655368:LMC655368 LVV655368:LVY655368 MFR655368:MFU655368 MPN655368:MPQ655368 MZJ655368:MZM655368 NJF655368:NJI655368 NTB655368:NTE655368 OCX655368:ODA655368 OMT655368:OMW655368 OWP655368:OWS655368 PGL655368:PGO655368 PQH655368:PQK655368 QAD655368:QAG655368 QJZ655368:QKC655368 QTV655368:QTY655368 RDR655368:RDU655368 RNN655368:RNQ655368 RXJ655368:RXM655368 SHF655368:SHI655368 SRB655368:SRE655368 TAX655368:TBA655368 TKT655368:TKW655368 TUP655368:TUS655368 UEL655368:UEO655368 UOH655368:UOK655368 UYD655368:UYG655368 VHZ655368:VIC655368 VRV655368:VRY655368 WBR655368:WBU655368 WLN655368:WLQ655368 WVJ655368:WVM655368 B720904:E720904 IX720904:JA720904 ST720904:SW720904 ACP720904:ACS720904 AML720904:AMO720904 AWH720904:AWK720904 BGD720904:BGG720904 BPZ720904:BQC720904 BZV720904:BZY720904 CJR720904:CJU720904 CTN720904:CTQ720904 DDJ720904:DDM720904 DNF720904:DNI720904 DXB720904:DXE720904 EGX720904:EHA720904 EQT720904:EQW720904 FAP720904:FAS720904 FKL720904:FKO720904 FUH720904:FUK720904 GED720904:GEG720904 GNZ720904:GOC720904 GXV720904:GXY720904 HHR720904:HHU720904 HRN720904:HRQ720904 IBJ720904:IBM720904 ILF720904:ILI720904 IVB720904:IVE720904 JEX720904:JFA720904 JOT720904:JOW720904 JYP720904:JYS720904 KIL720904:KIO720904 KSH720904:KSK720904 LCD720904:LCG720904 LLZ720904:LMC720904 LVV720904:LVY720904 MFR720904:MFU720904 MPN720904:MPQ720904 MZJ720904:MZM720904 NJF720904:NJI720904 NTB720904:NTE720904 OCX720904:ODA720904 OMT720904:OMW720904 OWP720904:OWS720904 PGL720904:PGO720904 PQH720904:PQK720904 QAD720904:QAG720904 QJZ720904:QKC720904 QTV720904:QTY720904 RDR720904:RDU720904 RNN720904:RNQ720904 RXJ720904:RXM720904 SHF720904:SHI720904 SRB720904:SRE720904 TAX720904:TBA720904 TKT720904:TKW720904 TUP720904:TUS720904 UEL720904:UEO720904 UOH720904:UOK720904 UYD720904:UYG720904 VHZ720904:VIC720904 VRV720904:VRY720904 WBR720904:WBU720904 WLN720904:WLQ720904 WVJ720904:WVM720904 B786440:E786440 IX786440:JA786440 ST786440:SW786440 ACP786440:ACS786440 AML786440:AMO786440 AWH786440:AWK786440 BGD786440:BGG786440 BPZ786440:BQC786440 BZV786440:BZY786440 CJR786440:CJU786440 CTN786440:CTQ786440 DDJ786440:DDM786440 DNF786440:DNI786440 DXB786440:DXE786440 EGX786440:EHA786440 EQT786440:EQW786440 FAP786440:FAS786440 FKL786440:FKO786440 FUH786440:FUK786440 GED786440:GEG786440 GNZ786440:GOC786440 GXV786440:GXY786440 HHR786440:HHU786440 HRN786440:HRQ786440 IBJ786440:IBM786440 ILF786440:ILI786440 IVB786440:IVE786440 JEX786440:JFA786440 JOT786440:JOW786440 JYP786440:JYS786440 KIL786440:KIO786440 KSH786440:KSK786440 LCD786440:LCG786440 LLZ786440:LMC786440 LVV786440:LVY786440 MFR786440:MFU786440 MPN786440:MPQ786440 MZJ786440:MZM786440 NJF786440:NJI786440 NTB786440:NTE786440 OCX786440:ODA786440 OMT786440:OMW786440 OWP786440:OWS786440 PGL786440:PGO786440 PQH786440:PQK786440 QAD786440:QAG786440 QJZ786440:QKC786440 QTV786440:QTY786440 RDR786440:RDU786440 RNN786440:RNQ786440 RXJ786440:RXM786440 SHF786440:SHI786440 SRB786440:SRE786440 TAX786440:TBA786440 TKT786440:TKW786440 TUP786440:TUS786440 UEL786440:UEO786440 UOH786440:UOK786440 UYD786440:UYG786440 VHZ786440:VIC786440 VRV786440:VRY786440 WBR786440:WBU786440 WLN786440:WLQ786440 WVJ786440:WVM786440 B851976:E851976 IX851976:JA851976 ST851976:SW851976 ACP851976:ACS851976 AML851976:AMO851976 AWH851976:AWK851976 BGD851976:BGG851976 BPZ851976:BQC851976 BZV851976:BZY851976 CJR851976:CJU851976 CTN851976:CTQ851976 DDJ851976:DDM851976 DNF851976:DNI851976 DXB851976:DXE851976 EGX851976:EHA851976 EQT851976:EQW851976 FAP851976:FAS851976 FKL851976:FKO851976 FUH851976:FUK851976 GED851976:GEG851976 GNZ851976:GOC851976 GXV851976:GXY851976 HHR851976:HHU851976 HRN851976:HRQ851976 IBJ851976:IBM851976 ILF851976:ILI851976 IVB851976:IVE851976 JEX851976:JFA851976 JOT851976:JOW851976 JYP851976:JYS851976 KIL851976:KIO851976 KSH851976:KSK851976 LCD851976:LCG851976 LLZ851976:LMC851976 LVV851976:LVY851976 MFR851976:MFU851976 MPN851976:MPQ851976 MZJ851976:MZM851976 NJF851976:NJI851976 NTB851976:NTE851976 OCX851976:ODA851976 OMT851976:OMW851976 OWP851976:OWS851976 PGL851976:PGO851976 PQH851976:PQK851976 QAD851976:QAG851976 QJZ851976:QKC851976 QTV851976:QTY851976 RDR851976:RDU851976 RNN851976:RNQ851976 RXJ851976:RXM851976 SHF851976:SHI851976 SRB851976:SRE851976 TAX851976:TBA851976 TKT851976:TKW851976 TUP851976:TUS851976 UEL851976:UEO851976 UOH851976:UOK851976 UYD851976:UYG851976 VHZ851976:VIC851976 VRV851976:VRY851976 WBR851976:WBU851976 WLN851976:WLQ851976 WVJ851976:WVM851976 B917512:E917512 IX917512:JA917512 ST917512:SW917512 ACP917512:ACS917512 AML917512:AMO917512 AWH917512:AWK917512 BGD917512:BGG917512 BPZ917512:BQC917512 BZV917512:BZY917512 CJR917512:CJU917512 CTN917512:CTQ917512 DDJ917512:DDM917512 DNF917512:DNI917512 DXB917512:DXE917512 EGX917512:EHA917512 EQT917512:EQW917512 FAP917512:FAS917512 FKL917512:FKO917512 FUH917512:FUK917512 GED917512:GEG917512 GNZ917512:GOC917512 GXV917512:GXY917512 HHR917512:HHU917512 HRN917512:HRQ917512 IBJ917512:IBM917512 ILF917512:ILI917512 IVB917512:IVE917512 JEX917512:JFA917512 JOT917512:JOW917512 JYP917512:JYS917512 KIL917512:KIO917512 KSH917512:KSK917512 LCD917512:LCG917512 LLZ917512:LMC917512 LVV917512:LVY917512 MFR917512:MFU917512 MPN917512:MPQ917512 MZJ917512:MZM917512 NJF917512:NJI917512 NTB917512:NTE917512 OCX917512:ODA917512 OMT917512:OMW917512 OWP917512:OWS917512 PGL917512:PGO917512 PQH917512:PQK917512 QAD917512:QAG917512 QJZ917512:QKC917512 QTV917512:QTY917512 RDR917512:RDU917512 RNN917512:RNQ917512 RXJ917512:RXM917512 SHF917512:SHI917512 SRB917512:SRE917512 TAX917512:TBA917512 TKT917512:TKW917512 TUP917512:TUS917512 UEL917512:UEO917512 UOH917512:UOK917512 UYD917512:UYG917512 VHZ917512:VIC917512 VRV917512:VRY917512 WBR917512:WBU917512 WLN917512:WLQ917512 WVJ917512:WVM917512 B983048:E983048 IX983048:JA983048 ST983048:SW983048 ACP983048:ACS983048 AML983048:AMO983048 AWH983048:AWK983048 BGD983048:BGG983048 BPZ983048:BQC983048 BZV983048:BZY983048 CJR983048:CJU983048 CTN983048:CTQ983048 DDJ983048:DDM983048 DNF983048:DNI983048 DXB983048:DXE983048 EGX983048:EHA983048 EQT983048:EQW983048 FAP983048:FAS983048 FKL983048:FKO983048 FUH983048:FUK983048 GED983048:GEG983048 GNZ983048:GOC983048 GXV983048:GXY983048 HHR983048:HHU983048 HRN983048:HRQ983048 IBJ983048:IBM983048 ILF983048:ILI983048 IVB983048:IVE983048 JEX983048:JFA983048 JOT983048:JOW983048 JYP983048:JYS983048 KIL983048:KIO983048 KSH983048:KSK983048 LCD983048:LCG983048 LLZ983048:LMC983048 LVV983048:LVY983048 MFR983048:MFU983048 MPN983048:MPQ983048 MZJ983048:MZM983048 NJF983048:NJI983048 NTB983048:NTE983048 OCX983048:ODA983048 OMT983048:OMW983048 OWP983048:OWS983048 PGL983048:PGO983048 PQH983048:PQK983048 QAD983048:QAG983048 QJZ983048:QKC983048 QTV983048:QTY983048 RDR983048:RDU983048 RNN983048:RNQ983048 RXJ983048:RXM983048 SHF983048:SHI983048 SRB983048:SRE983048 TAX983048:TBA983048 TKT983048:TKW983048 TUP983048:TUS983048 UEL983048:UEO983048 UOH983048:UOK983048 UYD983048:UYG983048 VHZ983048:VIC983048 VRV983048:VRY983048 WBR983048:WBU983048 WLN983048:WLQ983048 WVJ983048:WVM983048">
      <formula1>sigla_obras</formula1>
    </dataValidation>
    <dataValidation errorStyle="warning" allowBlank="1" showInputMessage="1" showErrorMessage="1" promptTitle="NOTE:" prompt="&lt;=== ADEQUAR PARA OS LIMITES DO BDI ESTABELECIDOS CONFORME TCU ACÓRDÃO 2622/2013 !"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62 JA65562 SW65562 ACS65562 AMO65562 AWK65562 BGG65562 BQC65562 BZY65562 CJU65562 CTQ65562 DDM65562 DNI65562 DXE65562 EHA65562 EQW65562 FAS65562 FKO65562 FUK65562 GEG65562 GOC65562 GXY65562 HHU65562 HRQ65562 IBM65562 ILI65562 IVE65562 JFA65562 JOW65562 JYS65562 KIO65562 KSK65562 LCG65562 LMC65562 LVY65562 MFU65562 MPQ65562 MZM65562 NJI65562 NTE65562 ODA65562 OMW65562 OWS65562 PGO65562 PQK65562 QAG65562 QKC65562 QTY65562 RDU65562 RNQ65562 RXM65562 SHI65562 SRE65562 TBA65562 TKW65562 TUS65562 UEO65562 UOK65562 UYG65562 VIC65562 VRY65562 WBU65562 WLQ65562 WVM65562 E131098 JA131098 SW131098 ACS131098 AMO131098 AWK131098 BGG131098 BQC131098 BZY131098 CJU131098 CTQ131098 DDM131098 DNI131098 DXE131098 EHA131098 EQW131098 FAS131098 FKO131098 FUK131098 GEG131098 GOC131098 GXY131098 HHU131098 HRQ131098 IBM131098 ILI131098 IVE131098 JFA131098 JOW131098 JYS131098 KIO131098 KSK131098 LCG131098 LMC131098 LVY131098 MFU131098 MPQ131098 MZM131098 NJI131098 NTE131098 ODA131098 OMW131098 OWS131098 PGO131098 PQK131098 QAG131098 QKC131098 QTY131098 RDU131098 RNQ131098 RXM131098 SHI131098 SRE131098 TBA131098 TKW131098 TUS131098 UEO131098 UOK131098 UYG131098 VIC131098 VRY131098 WBU131098 WLQ131098 WVM131098 E196634 JA196634 SW196634 ACS196634 AMO196634 AWK196634 BGG196634 BQC196634 BZY196634 CJU196634 CTQ196634 DDM196634 DNI196634 DXE196634 EHA196634 EQW196634 FAS196634 FKO196634 FUK196634 GEG196634 GOC196634 GXY196634 HHU196634 HRQ196634 IBM196634 ILI196634 IVE196634 JFA196634 JOW196634 JYS196634 KIO196634 KSK196634 LCG196634 LMC196634 LVY196634 MFU196634 MPQ196634 MZM196634 NJI196634 NTE196634 ODA196634 OMW196634 OWS196634 PGO196634 PQK196634 QAG196634 QKC196634 QTY196634 RDU196634 RNQ196634 RXM196634 SHI196634 SRE196634 TBA196634 TKW196634 TUS196634 UEO196634 UOK196634 UYG196634 VIC196634 VRY196634 WBU196634 WLQ196634 WVM196634 E262170 JA262170 SW262170 ACS262170 AMO262170 AWK262170 BGG262170 BQC262170 BZY262170 CJU262170 CTQ262170 DDM262170 DNI262170 DXE262170 EHA262170 EQW262170 FAS262170 FKO262170 FUK262170 GEG262170 GOC262170 GXY262170 HHU262170 HRQ262170 IBM262170 ILI262170 IVE262170 JFA262170 JOW262170 JYS262170 KIO262170 KSK262170 LCG262170 LMC262170 LVY262170 MFU262170 MPQ262170 MZM262170 NJI262170 NTE262170 ODA262170 OMW262170 OWS262170 PGO262170 PQK262170 QAG262170 QKC262170 QTY262170 RDU262170 RNQ262170 RXM262170 SHI262170 SRE262170 TBA262170 TKW262170 TUS262170 UEO262170 UOK262170 UYG262170 VIC262170 VRY262170 WBU262170 WLQ262170 WVM262170 E327706 JA327706 SW327706 ACS327706 AMO327706 AWK327706 BGG327706 BQC327706 BZY327706 CJU327706 CTQ327706 DDM327706 DNI327706 DXE327706 EHA327706 EQW327706 FAS327706 FKO327706 FUK327706 GEG327706 GOC327706 GXY327706 HHU327706 HRQ327706 IBM327706 ILI327706 IVE327706 JFA327706 JOW327706 JYS327706 KIO327706 KSK327706 LCG327706 LMC327706 LVY327706 MFU327706 MPQ327706 MZM327706 NJI327706 NTE327706 ODA327706 OMW327706 OWS327706 PGO327706 PQK327706 QAG327706 QKC327706 QTY327706 RDU327706 RNQ327706 RXM327706 SHI327706 SRE327706 TBA327706 TKW327706 TUS327706 UEO327706 UOK327706 UYG327706 VIC327706 VRY327706 WBU327706 WLQ327706 WVM327706 E393242 JA393242 SW393242 ACS393242 AMO393242 AWK393242 BGG393242 BQC393242 BZY393242 CJU393242 CTQ393242 DDM393242 DNI393242 DXE393242 EHA393242 EQW393242 FAS393242 FKO393242 FUK393242 GEG393242 GOC393242 GXY393242 HHU393242 HRQ393242 IBM393242 ILI393242 IVE393242 JFA393242 JOW393242 JYS393242 KIO393242 KSK393242 LCG393242 LMC393242 LVY393242 MFU393242 MPQ393242 MZM393242 NJI393242 NTE393242 ODA393242 OMW393242 OWS393242 PGO393242 PQK393242 QAG393242 QKC393242 QTY393242 RDU393242 RNQ393242 RXM393242 SHI393242 SRE393242 TBA393242 TKW393242 TUS393242 UEO393242 UOK393242 UYG393242 VIC393242 VRY393242 WBU393242 WLQ393242 WVM393242 E458778 JA458778 SW458778 ACS458778 AMO458778 AWK458778 BGG458778 BQC458778 BZY458778 CJU458778 CTQ458778 DDM458778 DNI458778 DXE458778 EHA458778 EQW458778 FAS458778 FKO458778 FUK458778 GEG458778 GOC458778 GXY458778 HHU458778 HRQ458778 IBM458778 ILI458778 IVE458778 JFA458778 JOW458778 JYS458778 KIO458778 KSK458778 LCG458778 LMC458778 LVY458778 MFU458778 MPQ458778 MZM458778 NJI458778 NTE458778 ODA458778 OMW458778 OWS458778 PGO458778 PQK458778 QAG458778 QKC458778 QTY458778 RDU458778 RNQ458778 RXM458778 SHI458778 SRE458778 TBA458778 TKW458778 TUS458778 UEO458778 UOK458778 UYG458778 VIC458778 VRY458778 WBU458778 WLQ458778 WVM458778 E524314 JA524314 SW524314 ACS524314 AMO524314 AWK524314 BGG524314 BQC524314 BZY524314 CJU524314 CTQ524314 DDM524314 DNI524314 DXE524314 EHA524314 EQW524314 FAS524314 FKO524314 FUK524314 GEG524314 GOC524314 GXY524314 HHU524314 HRQ524314 IBM524314 ILI524314 IVE524314 JFA524314 JOW524314 JYS524314 KIO524314 KSK524314 LCG524314 LMC524314 LVY524314 MFU524314 MPQ524314 MZM524314 NJI524314 NTE524314 ODA524314 OMW524314 OWS524314 PGO524314 PQK524314 QAG524314 QKC524314 QTY524314 RDU524314 RNQ524314 RXM524314 SHI524314 SRE524314 TBA524314 TKW524314 TUS524314 UEO524314 UOK524314 UYG524314 VIC524314 VRY524314 WBU524314 WLQ524314 WVM524314 E589850 JA589850 SW589850 ACS589850 AMO589850 AWK589850 BGG589850 BQC589850 BZY589850 CJU589850 CTQ589850 DDM589850 DNI589850 DXE589850 EHA589850 EQW589850 FAS589850 FKO589850 FUK589850 GEG589850 GOC589850 GXY589850 HHU589850 HRQ589850 IBM589850 ILI589850 IVE589850 JFA589850 JOW589850 JYS589850 KIO589850 KSK589850 LCG589850 LMC589850 LVY589850 MFU589850 MPQ589850 MZM589850 NJI589850 NTE589850 ODA589850 OMW589850 OWS589850 PGO589850 PQK589850 QAG589850 QKC589850 QTY589850 RDU589850 RNQ589850 RXM589850 SHI589850 SRE589850 TBA589850 TKW589850 TUS589850 UEO589850 UOK589850 UYG589850 VIC589850 VRY589850 WBU589850 WLQ589850 WVM589850 E655386 JA655386 SW655386 ACS655386 AMO655386 AWK655386 BGG655386 BQC655386 BZY655386 CJU655386 CTQ655386 DDM655386 DNI655386 DXE655386 EHA655386 EQW655386 FAS655386 FKO655386 FUK655386 GEG655386 GOC655386 GXY655386 HHU655386 HRQ655386 IBM655386 ILI655386 IVE655386 JFA655386 JOW655386 JYS655386 KIO655386 KSK655386 LCG655386 LMC655386 LVY655386 MFU655386 MPQ655386 MZM655386 NJI655386 NTE655386 ODA655386 OMW655386 OWS655386 PGO655386 PQK655386 QAG655386 QKC655386 QTY655386 RDU655386 RNQ655386 RXM655386 SHI655386 SRE655386 TBA655386 TKW655386 TUS655386 UEO655386 UOK655386 UYG655386 VIC655386 VRY655386 WBU655386 WLQ655386 WVM655386 E720922 JA720922 SW720922 ACS720922 AMO720922 AWK720922 BGG720922 BQC720922 BZY720922 CJU720922 CTQ720922 DDM720922 DNI720922 DXE720922 EHA720922 EQW720922 FAS720922 FKO720922 FUK720922 GEG720922 GOC720922 GXY720922 HHU720922 HRQ720922 IBM720922 ILI720922 IVE720922 JFA720922 JOW720922 JYS720922 KIO720922 KSK720922 LCG720922 LMC720922 LVY720922 MFU720922 MPQ720922 MZM720922 NJI720922 NTE720922 ODA720922 OMW720922 OWS720922 PGO720922 PQK720922 QAG720922 QKC720922 QTY720922 RDU720922 RNQ720922 RXM720922 SHI720922 SRE720922 TBA720922 TKW720922 TUS720922 UEO720922 UOK720922 UYG720922 VIC720922 VRY720922 WBU720922 WLQ720922 WVM720922 E786458 JA786458 SW786458 ACS786458 AMO786458 AWK786458 BGG786458 BQC786458 BZY786458 CJU786458 CTQ786458 DDM786458 DNI786458 DXE786458 EHA786458 EQW786458 FAS786458 FKO786458 FUK786458 GEG786458 GOC786458 GXY786458 HHU786458 HRQ786458 IBM786458 ILI786458 IVE786458 JFA786458 JOW786458 JYS786458 KIO786458 KSK786458 LCG786458 LMC786458 LVY786458 MFU786458 MPQ786458 MZM786458 NJI786458 NTE786458 ODA786458 OMW786458 OWS786458 PGO786458 PQK786458 QAG786458 QKC786458 QTY786458 RDU786458 RNQ786458 RXM786458 SHI786458 SRE786458 TBA786458 TKW786458 TUS786458 UEO786458 UOK786458 UYG786458 VIC786458 VRY786458 WBU786458 WLQ786458 WVM786458 E851994 JA851994 SW851994 ACS851994 AMO851994 AWK851994 BGG851994 BQC851994 BZY851994 CJU851994 CTQ851994 DDM851994 DNI851994 DXE851994 EHA851994 EQW851994 FAS851994 FKO851994 FUK851994 GEG851994 GOC851994 GXY851994 HHU851994 HRQ851994 IBM851994 ILI851994 IVE851994 JFA851994 JOW851994 JYS851994 KIO851994 KSK851994 LCG851994 LMC851994 LVY851994 MFU851994 MPQ851994 MZM851994 NJI851994 NTE851994 ODA851994 OMW851994 OWS851994 PGO851994 PQK851994 QAG851994 QKC851994 QTY851994 RDU851994 RNQ851994 RXM851994 SHI851994 SRE851994 TBA851994 TKW851994 TUS851994 UEO851994 UOK851994 UYG851994 VIC851994 VRY851994 WBU851994 WLQ851994 WVM851994 E917530 JA917530 SW917530 ACS917530 AMO917530 AWK917530 BGG917530 BQC917530 BZY917530 CJU917530 CTQ917530 DDM917530 DNI917530 DXE917530 EHA917530 EQW917530 FAS917530 FKO917530 FUK917530 GEG917530 GOC917530 GXY917530 HHU917530 HRQ917530 IBM917530 ILI917530 IVE917530 JFA917530 JOW917530 JYS917530 KIO917530 KSK917530 LCG917530 LMC917530 LVY917530 MFU917530 MPQ917530 MZM917530 NJI917530 NTE917530 ODA917530 OMW917530 OWS917530 PGO917530 PQK917530 QAG917530 QKC917530 QTY917530 RDU917530 RNQ917530 RXM917530 SHI917530 SRE917530 TBA917530 TKW917530 TUS917530 UEO917530 UOK917530 UYG917530 VIC917530 VRY917530 WBU917530 WLQ917530 WVM917530 E983066 JA983066 SW983066 ACS983066 AMO983066 AWK983066 BGG983066 BQC983066 BZY983066 CJU983066 CTQ983066 DDM983066 DNI983066 DXE983066 EHA983066 EQW983066 FAS983066 FKO983066 FUK983066 GEG983066 GOC983066 GXY983066 HHU983066 HRQ983066 IBM983066 ILI983066 IVE983066 JFA983066 JOW983066 JYS983066 KIO983066 KSK983066 LCG983066 LMC983066 LVY983066 MFU983066 MPQ983066 MZM983066 NJI983066 NTE983066 ODA983066 OMW983066 OWS983066 PGO983066 PQK983066 QAG983066 QKC983066 QTY983066 RDU983066 RNQ983066 RXM983066 SHI983066 SRE983066 TBA983066 TKW983066 TUS983066 UEO983066 UOK983066 UYG983066 VIC983066 VRY983066 WBU983066 WLQ983066 WVM983066"/>
    <dataValidation type="decimal" allowBlank="1" showInputMessage="1" showErrorMessage="1" errorTitle="ERRO" error="- SE ONERADO = 0%_x000a__x000a_- SE DESONERADO = ALÍQUOTA DE 4,5% DA RECEITA BRUTA" promptTitle="COMO PREENCHER:" prompt="- SE ONERADO: 0%_x000a__x000a_- SE DESONERADO: ALÍQUOTA DE 4,5% DA RECEITA BRUTA"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B22</formula1>
      <formula2>D22</formula2>
    </dataValidation>
    <dataValidation type="decimal" allowBlank="1" showInputMessage="1" showErrorMessage="1" errorTitle="ERRO" error="O VALOR ESTÁ FORA DOS LIMITES ESTABELECIDOS PELO TCU ACÓRDÃO 2622/2013 !" sqref="E14:E21 JA14:JA21 SW14:SW21 ACS14:ACS21 AMO14:AMO21 AWK14:AWK21 BGG14:BGG21 BQC14:BQC21 BZY14:BZY21 CJU14:CJU21 CTQ14:CTQ21 DDM14:DDM21 DNI14:DNI21 DXE14:DXE21 EHA14:EHA21 EQW14:EQW21 FAS14:FAS21 FKO14:FKO21 FUK14:FUK21 GEG14:GEG21 GOC14:GOC21 GXY14:GXY21 HHU14:HHU21 HRQ14:HRQ21 IBM14:IBM21 ILI14:ILI21 IVE14:IVE21 JFA14:JFA21 JOW14:JOW21 JYS14:JYS21 KIO14:KIO21 KSK14:KSK21 LCG14:LCG21 LMC14:LMC21 LVY14:LVY21 MFU14:MFU21 MPQ14:MPQ21 MZM14:MZM21 NJI14:NJI21 NTE14:NTE21 ODA14:ODA21 OMW14:OMW21 OWS14:OWS21 PGO14:PGO21 PQK14:PQK21 QAG14:QAG21 QKC14:QKC21 QTY14:QTY21 RDU14:RDU21 RNQ14:RNQ21 RXM14:RXM21 SHI14:SHI21 SRE14:SRE21 TBA14:TBA21 TKW14:TKW21 TUS14:TUS21 UEO14:UEO21 UOK14:UOK21 UYG14:UYG21 VIC14:VIC21 VRY14:VRY21 WBU14:WBU21 WLQ14:WLQ21 WVM14:WVM21 E65550:E65557 JA65550:JA65557 SW65550:SW65557 ACS65550:ACS65557 AMO65550:AMO65557 AWK65550:AWK65557 BGG65550:BGG65557 BQC65550:BQC65557 BZY65550:BZY65557 CJU65550:CJU65557 CTQ65550:CTQ65557 DDM65550:DDM65557 DNI65550:DNI65557 DXE65550:DXE65557 EHA65550:EHA65557 EQW65550:EQW65557 FAS65550:FAS65557 FKO65550:FKO65557 FUK65550:FUK65557 GEG65550:GEG65557 GOC65550:GOC65557 GXY65550:GXY65557 HHU65550:HHU65557 HRQ65550:HRQ65557 IBM65550:IBM65557 ILI65550:ILI65557 IVE65550:IVE65557 JFA65550:JFA65557 JOW65550:JOW65557 JYS65550:JYS65557 KIO65550:KIO65557 KSK65550:KSK65557 LCG65550:LCG65557 LMC65550:LMC65557 LVY65550:LVY65557 MFU65550:MFU65557 MPQ65550:MPQ65557 MZM65550:MZM65557 NJI65550:NJI65557 NTE65550:NTE65557 ODA65550:ODA65557 OMW65550:OMW65557 OWS65550:OWS65557 PGO65550:PGO65557 PQK65550:PQK65557 QAG65550:QAG65557 QKC65550:QKC65557 QTY65550:QTY65557 RDU65550:RDU65557 RNQ65550:RNQ65557 RXM65550:RXM65557 SHI65550:SHI65557 SRE65550:SRE65557 TBA65550:TBA65557 TKW65550:TKW65557 TUS65550:TUS65557 UEO65550:UEO65557 UOK65550:UOK65557 UYG65550:UYG65557 VIC65550:VIC65557 VRY65550:VRY65557 WBU65550:WBU65557 WLQ65550:WLQ65557 WVM65550:WVM65557 E131086:E131093 JA131086:JA131093 SW131086:SW131093 ACS131086:ACS131093 AMO131086:AMO131093 AWK131086:AWK131093 BGG131086:BGG131093 BQC131086:BQC131093 BZY131086:BZY131093 CJU131086:CJU131093 CTQ131086:CTQ131093 DDM131086:DDM131093 DNI131086:DNI131093 DXE131086:DXE131093 EHA131086:EHA131093 EQW131086:EQW131093 FAS131086:FAS131093 FKO131086:FKO131093 FUK131086:FUK131093 GEG131086:GEG131093 GOC131086:GOC131093 GXY131086:GXY131093 HHU131086:HHU131093 HRQ131086:HRQ131093 IBM131086:IBM131093 ILI131086:ILI131093 IVE131086:IVE131093 JFA131086:JFA131093 JOW131086:JOW131093 JYS131086:JYS131093 KIO131086:KIO131093 KSK131086:KSK131093 LCG131086:LCG131093 LMC131086:LMC131093 LVY131086:LVY131093 MFU131086:MFU131093 MPQ131086:MPQ131093 MZM131086:MZM131093 NJI131086:NJI131093 NTE131086:NTE131093 ODA131086:ODA131093 OMW131086:OMW131093 OWS131086:OWS131093 PGO131086:PGO131093 PQK131086:PQK131093 QAG131086:QAG131093 QKC131086:QKC131093 QTY131086:QTY131093 RDU131086:RDU131093 RNQ131086:RNQ131093 RXM131086:RXM131093 SHI131086:SHI131093 SRE131086:SRE131093 TBA131086:TBA131093 TKW131086:TKW131093 TUS131086:TUS131093 UEO131086:UEO131093 UOK131086:UOK131093 UYG131086:UYG131093 VIC131086:VIC131093 VRY131086:VRY131093 WBU131086:WBU131093 WLQ131086:WLQ131093 WVM131086:WVM131093 E196622:E196629 JA196622:JA196629 SW196622:SW196629 ACS196622:ACS196629 AMO196622:AMO196629 AWK196622:AWK196629 BGG196622:BGG196629 BQC196622:BQC196629 BZY196622:BZY196629 CJU196622:CJU196629 CTQ196622:CTQ196629 DDM196622:DDM196629 DNI196622:DNI196629 DXE196622:DXE196629 EHA196622:EHA196629 EQW196622:EQW196629 FAS196622:FAS196629 FKO196622:FKO196629 FUK196622:FUK196629 GEG196622:GEG196629 GOC196622:GOC196629 GXY196622:GXY196629 HHU196622:HHU196629 HRQ196622:HRQ196629 IBM196622:IBM196629 ILI196622:ILI196629 IVE196622:IVE196629 JFA196622:JFA196629 JOW196622:JOW196629 JYS196622:JYS196629 KIO196622:KIO196629 KSK196622:KSK196629 LCG196622:LCG196629 LMC196622:LMC196629 LVY196622:LVY196629 MFU196622:MFU196629 MPQ196622:MPQ196629 MZM196622:MZM196629 NJI196622:NJI196629 NTE196622:NTE196629 ODA196622:ODA196629 OMW196622:OMW196629 OWS196622:OWS196629 PGO196622:PGO196629 PQK196622:PQK196629 QAG196622:QAG196629 QKC196622:QKC196629 QTY196622:QTY196629 RDU196622:RDU196629 RNQ196622:RNQ196629 RXM196622:RXM196629 SHI196622:SHI196629 SRE196622:SRE196629 TBA196622:TBA196629 TKW196622:TKW196629 TUS196622:TUS196629 UEO196622:UEO196629 UOK196622:UOK196629 UYG196622:UYG196629 VIC196622:VIC196629 VRY196622:VRY196629 WBU196622:WBU196629 WLQ196622:WLQ196629 WVM196622:WVM196629 E262158:E262165 JA262158:JA262165 SW262158:SW262165 ACS262158:ACS262165 AMO262158:AMO262165 AWK262158:AWK262165 BGG262158:BGG262165 BQC262158:BQC262165 BZY262158:BZY262165 CJU262158:CJU262165 CTQ262158:CTQ262165 DDM262158:DDM262165 DNI262158:DNI262165 DXE262158:DXE262165 EHA262158:EHA262165 EQW262158:EQW262165 FAS262158:FAS262165 FKO262158:FKO262165 FUK262158:FUK262165 GEG262158:GEG262165 GOC262158:GOC262165 GXY262158:GXY262165 HHU262158:HHU262165 HRQ262158:HRQ262165 IBM262158:IBM262165 ILI262158:ILI262165 IVE262158:IVE262165 JFA262158:JFA262165 JOW262158:JOW262165 JYS262158:JYS262165 KIO262158:KIO262165 KSK262158:KSK262165 LCG262158:LCG262165 LMC262158:LMC262165 LVY262158:LVY262165 MFU262158:MFU262165 MPQ262158:MPQ262165 MZM262158:MZM262165 NJI262158:NJI262165 NTE262158:NTE262165 ODA262158:ODA262165 OMW262158:OMW262165 OWS262158:OWS262165 PGO262158:PGO262165 PQK262158:PQK262165 QAG262158:QAG262165 QKC262158:QKC262165 QTY262158:QTY262165 RDU262158:RDU262165 RNQ262158:RNQ262165 RXM262158:RXM262165 SHI262158:SHI262165 SRE262158:SRE262165 TBA262158:TBA262165 TKW262158:TKW262165 TUS262158:TUS262165 UEO262158:UEO262165 UOK262158:UOK262165 UYG262158:UYG262165 VIC262158:VIC262165 VRY262158:VRY262165 WBU262158:WBU262165 WLQ262158:WLQ262165 WVM262158:WVM262165 E327694:E327701 JA327694:JA327701 SW327694:SW327701 ACS327694:ACS327701 AMO327694:AMO327701 AWK327694:AWK327701 BGG327694:BGG327701 BQC327694:BQC327701 BZY327694:BZY327701 CJU327694:CJU327701 CTQ327694:CTQ327701 DDM327694:DDM327701 DNI327694:DNI327701 DXE327694:DXE327701 EHA327694:EHA327701 EQW327694:EQW327701 FAS327694:FAS327701 FKO327694:FKO327701 FUK327694:FUK327701 GEG327694:GEG327701 GOC327694:GOC327701 GXY327694:GXY327701 HHU327694:HHU327701 HRQ327694:HRQ327701 IBM327694:IBM327701 ILI327694:ILI327701 IVE327694:IVE327701 JFA327694:JFA327701 JOW327694:JOW327701 JYS327694:JYS327701 KIO327694:KIO327701 KSK327694:KSK327701 LCG327694:LCG327701 LMC327694:LMC327701 LVY327694:LVY327701 MFU327694:MFU327701 MPQ327694:MPQ327701 MZM327694:MZM327701 NJI327694:NJI327701 NTE327694:NTE327701 ODA327694:ODA327701 OMW327694:OMW327701 OWS327694:OWS327701 PGO327694:PGO327701 PQK327694:PQK327701 QAG327694:QAG327701 QKC327694:QKC327701 QTY327694:QTY327701 RDU327694:RDU327701 RNQ327694:RNQ327701 RXM327694:RXM327701 SHI327694:SHI327701 SRE327694:SRE327701 TBA327694:TBA327701 TKW327694:TKW327701 TUS327694:TUS327701 UEO327694:UEO327701 UOK327694:UOK327701 UYG327694:UYG327701 VIC327694:VIC327701 VRY327694:VRY327701 WBU327694:WBU327701 WLQ327694:WLQ327701 WVM327694:WVM327701 E393230:E393237 JA393230:JA393237 SW393230:SW393237 ACS393230:ACS393237 AMO393230:AMO393237 AWK393230:AWK393237 BGG393230:BGG393237 BQC393230:BQC393237 BZY393230:BZY393237 CJU393230:CJU393237 CTQ393230:CTQ393237 DDM393230:DDM393237 DNI393230:DNI393237 DXE393230:DXE393237 EHA393230:EHA393237 EQW393230:EQW393237 FAS393230:FAS393237 FKO393230:FKO393237 FUK393230:FUK393237 GEG393230:GEG393237 GOC393230:GOC393237 GXY393230:GXY393237 HHU393230:HHU393237 HRQ393230:HRQ393237 IBM393230:IBM393237 ILI393230:ILI393237 IVE393230:IVE393237 JFA393230:JFA393237 JOW393230:JOW393237 JYS393230:JYS393237 KIO393230:KIO393237 KSK393230:KSK393237 LCG393230:LCG393237 LMC393230:LMC393237 LVY393230:LVY393237 MFU393230:MFU393237 MPQ393230:MPQ393237 MZM393230:MZM393237 NJI393230:NJI393237 NTE393230:NTE393237 ODA393230:ODA393237 OMW393230:OMW393237 OWS393230:OWS393237 PGO393230:PGO393237 PQK393230:PQK393237 QAG393230:QAG393237 QKC393230:QKC393237 QTY393230:QTY393237 RDU393230:RDU393237 RNQ393230:RNQ393237 RXM393230:RXM393237 SHI393230:SHI393237 SRE393230:SRE393237 TBA393230:TBA393237 TKW393230:TKW393237 TUS393230:TUS393237 UEO393230:UEO393237 UOK393230:UOK393237 UYG393230:UYG393237 VIC393230:VIC393237 VRY393230:VRY393237 WBU393230:WBU393237 WLQ393230:WLQ393237 WVM393230:WVM393237 E458766:E458773 JA458766:JA458773 SW458766:SW458773 ACS458766:ACS458773 AMO458766:AMO458773 AWK458766:AWK458773 BGG458766:BGG458773 BQC458766:BQC458773 BZY458766:BZY458773 CJU458766:CJU458773 CTQ458766:CTQ458773 DDM458766:DDM458773 DNI458766:DNI458773 DXE458766:DXE458773 EHA458766:EHA458773 EQW458766:EQW458773 FAS458766:FAS458773 FKO458766:FKO458773 FUK458766:FUK458773 GEG458766:GEG458773 GOC458766:GOC458773 GXY458766:GXY458773 HHU458766:HHU458773 HRQ458766:HRQ458773 IBM458766:IBM458773 ILI458766:ILI458773 IVE458766:IVE458773 JFA458766:JFA458773 JOW458766:JOW458773 JYS458766:JYS458773 KIO458766:KIO458773 KSK458766:KSK458773 LCG458766:LCG458773 LMC458766:LMC458773 LVY458766:LVY458773 MFU458766:MFU458773 MPQ458766:MPQ458773 MZM458766:MZM458773 NJI458766:NJI458773 NTE458766:NTE458773 ODA458766:ODA458773 OMW458766:OMW458773 OWS458766:OWS458773 PGO458766:PGO458773 PQK458766:PQK458773 QAG458766:QAG458773 QKC458766:QKC458773 QTY458766:QTY458773 RDU458766:RDU458773 RNQ458766:RNQ458773 RXM458766:RXM458773 SHI458766:SHI458773 SRE458766:SRE458773 TBA458766:TBA458773 TKW458766:TKW458773 TUS458766:TUS458773 UEO458766:UEO458773 UOK458766:UOK458773 UYG458766:UYG458773 VIC458766:VIC458773 VRY458766:VRY458773 WBU458766:WBU458773 WLQ458766:WLQ458773 WVM458766:WVM458773 E524302:E524309 JA524302:JA524309 SW524302:SW524309 ACS524302:ACS524309 AMO524302:AMO524309 AWK524302:AWK524309 BGG524302:BGG524309 BQC524302:BQC524309 BZY524302:BZY524309 CJU524302:CJU524309 CTQ524302:CTQ524309 DDM524302:DDM524309 DNI524302:DNI524309 DXE524302:DXE524309 EHA524302:EHA524309 EQW524302:EQW524309 FAS524302:FAS524309 FKO524302:FKO524309 FUK524302:FUK524309 GEG524302:GEG524309 GOC524302:GOC524309 GXY524302:GXY524309 HHU524302:HHU524309 HRQ524302:HRQ524309 IBM524302:IBM524309 ILI524302:ILI524309 IVE524302:IVE524309 JFA524302:JFA524309 JOW524302:JOW524309 JYS524302:JYS524309 KIO524302:KIO524309 KSK524302:KSK524309 LCG524302:LCG524309 LMC524302:LMC524309 LVY524302:LVY524309 MFU524302:MFU524309 MPQ524302:MPQ524309 MZM524302:MZM524309 NJI524302:NJI524309 NTE524302:NTE524309 ODA524302:ODA524309 OMW524302:OMW524309 OWS524302:OWS524309 PGO524302:PGO524309 PQK524302:PQK524309 QAG524302:QAG524309 QKC524302:QKC524309 QTY524302:QTY524309 RDU524302:RDU524309 RNQ524302:RNQ524309 RXM524302:RXM524309 SHI524302:SHI524309 SRE524302:SRE524309 TBA524302:TBA524309 TKW524302:TKW524309 TUS524302:TUS524309 UEO524302:UEO524309 UOK524302:UOK524309 UYG524302:UYG524309 VIC524302:VIC524309 VRY524302:VRY524309 WBU524302:WBU524309 WLQ524302:WLQ524309 WVM524302:WVM524309 E589838:E589845 JA589838:JA589845 SW589838:SW589845 ACS589838:ACS589845 AMO589838:AMO589845 AWK589838:AWK589845 BGG589838:BGG589845 BQC589838:BQC589845 BZY589838:BZY589845 CJU589838:CJU589845 CTQ589838:CTQ589845 DDM589838:DDM589845 DNI589838:DNI589845 DXE589838:DXE589845 EHA589838:EHA589845 EQW589838:EQW589845 FAS589838:FAS589845 FKO589838:FKO589845 FUK589838:FUK589845 GEG589838:GEG589845 GOC589838:GOC589845 GXY589838:GXY589845 HHU589838:HHU589845 HRQ589838:HRQ589845 IBM589838:IBM589845 ILI589838:ILI589845 IVE589838:IVE589845 JFA589838:JFA589845 JOW589838:JOW589845 JYS589838:JYS589845 KIO589838:KIO589845 KSK589838:KSK589845 LCG589838:LCG589845 LMC589838:LMC589845 LVY589838:LVY589845 MFU589838:MFU589845 MPQ589838:MPQ589845 MZM589838:MZM589845 NJI589838:NJI589845 NTE589838:NTE589845 ODA589838:ODA589845 OMW589838:OMW589845 OWS589838:OWS589845 PGO589838:PGO589845 PQK589838:PQK589845 QAG589838:QAG589845 QKC589838:QKC589845 QTY589838:QTY589845 RDU589838:RDU589845 RNQ589838:RNQ589845 RXM589838:RXM589845 SHI589838:SHI589845 SRE589838:SRE589845 TBA589838:TBA589845 TKW589838:TKW589845 TUS589838:TUS589845 UEO589838:UEO589845 UOK589838:UOK589845 UYG589838:UYG589845 VIC589838:VIC589845 VRY589838:VRY589845 WBU589838:WBU589845 WLQ589838:WLQ589845 WVM589838:WVM589845 E655374:E655381 JA655374:JA655381 SW655374:SW655381 ACS655374:ACS655381 AMO655374:AMO655381 AWK655374:AWK655381 BGG655374:BGG655381 BQC655374:BQC655381 BZY655374:BZY655381 CJU655374:CJU655381 CTQ655374:CTQ655381 DDM655374:DDM655381 DNI655374:DNI655381 DXE655374:DXE655381 EHA655374:EHA655381 EQW655374:EQW655381 FAS655374:FAS655381 FKO655374:FKO655381 FUK655374:FUK655381 GEG655374:GEG655381 GOC655374:GOC655381 GXY655374:GXY655381 HHU655374:HHU655381 HRQ655374:HRQ655381 IBM655374:IBM655381 ILI655374:ILI655381 IVE655374:IVE655381 JFA655374:JFA655381 JOW655374:JOW655381 JYS655374:JYS655381 KIO655374:KIO655381 KSK655374:KSK655381 LCG655374:LCG655381 LMC655374:LMC655381 LVY655374:LVY655381 MFU655374:MFU655381 MPQ655374:MPQ655381 MZM655374:MZM655381 NJI655374:NJI655381 NTE655374:NTE655381 ODA655374:ODA655381 OMW655374:OMW655381 OWS655374:OWS655381 PGO655374:PGO655381 PQK655374:PQK655381 QAG655374:QAG655381 QKC655374:QKC655381 QTY655374:QTY655381 RDU655374:RDU655381 RNQ655374:RNQ655381 RXM655374:RXM655381 SHI655374:SHI655381 SRE655374:SRE655381 TBA655374:TBA655381 TKW655374:TKW655381 TUS655374:TUS655381 UEO655374:UEO655381 UOK655374:UOK655381 UYG655374:UYG655381 VIC655374:VIC655381 VRY655374:VRY655381 WBU655374:WBU655381 WLQ655374:WLQ655381 WVM655374:WVM655381 E720910:E720917 JA720910:JA720917 SW720910:SW720917 ACS720910:ACS720917 AMO720910:AMO720917 AWK720910:AWK720917 BGG720910:BGG720917 BQC720910:BQC720917 BZY720910:BZY720917 CJU720910:CJU720917 CTQ720910:CTQ720917 DDM720910:DDM720917 DNI720910:DNI720917 DXE720910:DXE720917 EHA720910:EHA720917 EQW720910:EQW720917 FAS720910:FAS720917 FKO720910:FKO720917 FUK720910:FUK720917 GEG720910:GEG720917 GOC720910:GOC720917 GXY720910:GXY720917 HHU720910:HHU720917 HRQ720910:HRQ720917 IBM720910:IBM720917 ILI720910:ILI720917 IVE720910:IVE720917 JFA720910:JFA720917 JOW720910:JOW720917 JYS720910:JYS720917 KIO720910:KIO720917 KSK720910:KSK720917 LCG720910:LCG720917 LMC720910:LMC720917 LVY720910:LVY720917 MFU720910:MFU720917 MPQ720910:MPQ720917 MZM720910:MZM720917 NJI720910:NJI720917 NTE720910:NTE720917 ODA720910:ODA720917 OMW720910:OMW720917 OWS720910:OWS720917 PGO720910:PGO720917 PQK720910:PQK720917 QAG720910:QAG720917 QKC720910:QKC720917 QTY720910:QTY720917 RDU720910:RDU720917 RNQ720910:RNQ720917 RXM720910:RXM720917 SHI720910:SHI720917 SRE720910:SRE720917 TBA720910:TBA720917 TKW720910:TKW720917 TUS720910:TUS720917 UEO720910:UEO720917 UOK720910:UOK720917 UYG720910:UYG720917 VIC720910:VIC720917 VRY720910:VRY720917 WBU720910:WBU720917 WLQ720910:WLQ720917 WVM720910:WVM720917 E786446:E786453 JA786446:JA786453 SW786446:SW786453 ACS786446:ACS786453 AMO786446:AMO786453 AWK786446:AWK786453 BGG786446:BGG786453 BQC786446:BQC786453 BZY786446:BZY786453 CJU786446:CJU786453 CTQ786446:CTQ786453 DDM786446:DDM786453 DNI786446:DNI786453 DXE786446:DXE786453 EHA786446:EHA786453 EQW786446:EQW786453 FAS786446:FAS786453 FKO786446:FKO786453 FUK786446:FUK786453 GEG786446:GEG786453 GOC786446:GOC786453 GXY786446:GXY786453 HHU786446:HHU786453 HRQ786446:HRQ786453 IBM786446:IBM786453 ILI786446:ILI786453 IVE786446:IVE786453 JFA786446:JFA786453 JOW786446:JOW786453 JYS786446:JYS786453 KIO786446:KIO786453 KSK786446:KSK786453 LCG786446:LCG786453 LMC786446:LMC786453 LVY786446:LVY786453 MFU786446:MFU786453 MPQ786446:MPQ786453 MZM786446:MZM786453 NJI786446:NJI786453 NTE786446:NTE786453 ODA786446:ODA786453 OMW786446:OMW786453 OWS786446:OWS786453 PGO786446:PGO786453 PQK786446:PQK786453 QAG786446:QAG786453 QKC786446:QKC786453 QTY786446:QTY786453 RDU786446:RDU786453 RNQ786446:RNQ786453 RXM786446:RXM786453 SHI786446:SHI786453 SRE786446:SRE786453 TBA786446:TBA786453 TKW786446:TKW786453 TUS786446:TUS786453 UEO786446:UEO786453 UOK786446:UOK786453 UYG786446:UYG786453 VIC786446:VIC786453 VRY786446:VRY786453 WBU786446:WBU786453 WLQ786446:WLQ786453 WVM786446:WVM786453 E851982:E851989 JA851982:JA851989 SW851982:SW851989 ACS851982:ACS851989 AMO851982:AMO851989 AWK851982:AWK851989 BGG851982:BGG851989 BQC851982:BQC851989 BZY851982:BZY851989 CJU851982:CJU851989 CTQ851982:CTQ851989 DDM851982:DDM851989 DNI851982:DNI851989 DXE851982:DXE851989 EHA851982:EHA851989 EQW851982:EQW851989 FAS851982:FAS851989 FKO851982:FKO851989 FUK851982:FUK851989 GEG851982:GEG851989 GOC851982:GOC851989 GXY851982:GXY851989 HHU851982:HHU851989 HRQ851982:HRQ851989 IBM851982:IBM851989 ILI851982:ILI851989 IVE851982:IVE851989 JFA851982:JFA851989 JOW851982:JOW851989 JYS851982:JYS851989 KIO851982:KIO851989 KSK851982:KSK851989 LCG851982:LCG851989 LMC851982:LMC851989 LVY851982:LVY851989 MFU851982:MFU851989 MPQ851982:MPQ851989 MZM851982:MZM851989 NJI851982:NJI851989 NTE851982:NTE851989 ODA851982:ODA851989 OMW851982:OMW851989 OWS851982:OWS851989 PGO851982:PGO851989 PQK851982:PQK851989 QAG851982:QAG851989 QKC851982:QKC851989 QTY851982:QTY851989 RDU851982:RDU851989 RNQ851982:RNQ851989 RXM851982:RXM851989 SHI851982:SHI851989 SRE851982:SRE851989 TBA851982:TBA851989 TKW851982:TKW851989 TUS851982:TUS851989 UEO851982:UEO851989 UOK851982:UOK851989 UYG851982:UYG851989 VIC851982:VIC851989 VRY851982:VRY851989 WBU851982:WBU851989 WLQ851982:WLQ851989 WVM851982:WVM851989 E917518:E917525 JA917518:JA917525 SW917518:SW917525 ACS917518:ACS917525 AMO917518:AMO917525 AWK917518:AWK917525 BGG917518:BGG917525 BQC917518:BQC917525 BZY917518:BZY917525 CJU917518:CJU917525 CTQ917518:CTQ917525 DDM917518:DDM917525 DNI917518:DNI917525 DXE917518:DXE917525 EHA917518:EHA917525 EQW917518:EQW917525 FAS917518:FAS917525 FKO917518:FKO917525 FUK917518:FUK917525 GEG917518:GEG917525 GOC917518:GOC917525 GXY917518:GXY917525 HHU917518:HHU917525 HRQ917518:HRQ917525 IBM917518:IBM917525 ILI917518:ILI917525 IVE917518:IVE917525 JFA917518:JFA917525 JOW917518:JOW917525 JYS917518:JYS917525 KIO917518:KIO917525 KSK917518:KSK917525 LCG917518:LCG917525 LMC917518:LMC917525 LVY917518:LVY917525 MFU917518:MFU917525 MPQ917518:MPQ917525 MZM917518:MZM917525 NJI917518:NJI917525 NTE917518:NTE917525 ODA917518:ODA917525 OMW917518:OMW917525 OWS917518:OWS917525 PGO917518:PGO917525 PQK917518:PQK917525 QAG917518:QAG917525 QKC917518:QKC917525 QTY917518:QTY917525 RDU917518:RDU917525 RNQ917518:RNQ917525 RXM917518:RXM917525 SHI917518:SHI917525 SRE917518:SRE917525 TBA917518:TBA917525 TKW917518:TKW917525 TUS917518:TUS917525 UEO917518:UEO917525 UOK917518:UOK917525 UYG917518:UYG917525 VIC917518:VIC917525 VRY917518:VRY917525 WBU917518:WBU917525 WLQ917518:WLQ917525 WVM917518:WVM917525 E983054:E983061 JA983054:JA983061 SW983054:SW983061 ACS983054:ACS983061 AMO983054:AMO983061 AWK983054:AWK983061 BGG983054:BGG983061 BQC983054:BQC983061 BZY983054:BZY983061 CJU983054:CJU983061 CTQ983054:CTQ983061 DDM983054:DDM983061 DNI983054:DNI983061 DXE983054:DXE983061 EHA983054:EHA983061 EQW983054:EQW983061 FAS983054:FAS983061 FKO983054:FKO983061 FUK983054:FUK983061 GEG983054:GEG983061 GOC983054:GOC983061 GXY983054:GXY983061 HHU983054:HHU983061 HRQ983054:HRQ983061 IBM983054:IBM983061 ILI983054:ILI983061 IVE983054:IVE983061 JFA983054:JFA983061 JOW983054:JOW983061 JYS983054:JYS983061 KIO983054:KIO983061 KSK983054:KSK983061 LCG983054:LCG983061 LMC983054:LMC983061 LVY983054:LVY983061 MFU983054:MFU983061 MPQ983054:MPQ983061 MZM983054:MZM983061 NJI983054:NJI983061 NTE983054:NTE983061 ODA983054:ODA983061 OMW983054:OMW983061 OWS983054:OWS983061 PGO983054:PGO983061 PQK983054:PQK983061 QAG983054:QAG983061 QKC983054:QKC983061 QTY983054:QTY983061 RDU983054:RDU983061 RNQ983054:RNQ983061 RXM983054:RXM983061 SHI983054:SHI983061 SRE983054:SRE983061 TBA983054:TBA983061 TKW983054:TKW983061 TUS983054:TUS983061 UEO983054:UEO983061 UOK983054:UOK983061 UYG983054:UYG983061 VIC983054:VIC983061 VRY983054:VRY983061 WBU983054:WBU983061 WLQ983054:WLQ983061 WVM983054:WVM983061">
      <formula1>B14</formula1>
      <formula2>D14</formula2>
    </dataValidation>
  </dataValidations>
  <printOptions horizontalCentered="1"/>
  <pageMargins left="1.1811023622047245" right="0.78740157480314965" top="1.1811023622047245" bottom="0.78740157480314965" header="0.51181102362204722" footer="0.51181102362204722"/>
  <pageSetup paperSize="9" scale="76" orientation="portrait" r:id="rId1"/>
  <headerFooter alignWithMargins="0">
    <oddFooter>&amp;R&amp;P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zoomScale="70" workbookViewId="0">
      <selection activeCell="Y7" sqref="Y7"/>
    </sheetView>
  </sheetViews>
  <sheetFormatPr defaultRowHeight="12.75" x14ac:dyDescent="0.2"/>
  <cols>
    <col min="1" max="1" width="84.85546875" style="122" bestFit="1" customWidth="1"/>
    <col min="2" max="24" width="9.140625" style="122"/>
    <col min="25" max="25" width="11.28515625" style="122" bestFit="1" customWidth="1"/>
    <col min="26" max="256" width="9.140625" style="122"/>
    <col min="257" max="257" width="84.85546875" style="122" bestFit="1" customWidth="1"/>
    <col min="258" max="280" width="9.140625" style="122"/>
    <col min="281" max="281" width="11.28515625" style="122" bestFit="1" customWidth="1"/>
    <col min="282" max="512" width="9.140625" style="122"/>
    <col min="513" max="513" width="84.85546875" style="122" bestFit="1" customWidth="1"/>
    <col min="514" max="536" width="9.140625" style="122"/>
    <col min="537" max="537" width="11.28515625" style="122" bestFit="1" customWidth="1"/>
    <col min="538" max="768" width="9.140625" style="122"/>
    <col min="769" max="769" width="84.85546875" style="122" bestFit="1" customWidth="1"/>
    <col min="770" max="792" width="9.140625" style="122"/>
    <col min="793" max="793" width="11.28515625" style="122" bestFit="1" customWidth="1"/>
    <col min="794" max="1024" width="9.140625" style="122"/>
    <col min="1025" max="1025" width="84.85546875" style="122" bestFit="1" customWidth="1"/>
    <col min="1026" max="1048" width="9.140625" style="122"/>
    <col min="1049" max="1049" width="11.28515625" style="122" bestFit="1" customWidth="1"/>
    <col min="1050" max="1280" width="9.140625" style="122"/>
    <col min="1281" max="1281" width="84.85546875" style="122" bestFit="1" customWidth="1"/>
    <col min="1282" max="1304" width="9.140625" style="122"/>
    <col min="1305" max="1305" width="11.28515625" style="122" bestFit="1" customWidth="1"/>
    <col min="1306" max="1536" width="9.140625" style="122"/>
    <col min="1537" max="1537" width="84.85546875" style="122" bestFit="1" customWidth="1"/>
    <col min="1538" max="1560" width="9.140625" style="122"/>
    <col min="1561" max="1561" width="11.28515625" style="122" bestFit="1" customWidth="1"/>
    <col min="1562" max="1792" width="9.140625" style="122"/>
    <col min="1793" max="1793" width="84.85546875" style="122" bestFit="1" customWidth="1"/>
    <col min="1794" max="1816" width="9.140625" style="122"/>
    <col min="1817" max="1817" width="11.28515625" style="122" bestFit="1" customWidth="1"/>
    <col min="1818" max="2048" width="9.140625" style="122"/>
    <col min="2049" max="2049" width="84.85546875" style="122" bestFit="1" customWidth="1"/>
    <col min="2050" max="2072" width="9.140625" style="122"/>
    <col min="2073" max="2073" width="11.28515625" style="122" bestFit="1" customWidth="1"/>
    <col min="2074" max="2304" width="9.140625" style="122"/>
    <col min="2305" max="2305" width="84.85546875" style="122" bestFit="1" customWidth="1"/>
    <col min="2306" max="2328" width="9.140625" style="122"/>
    <col min="2329" max="2329" width="11.28515625" style="122" bestFit="1" customWidth="1"/>
    <col min="2330" max="2560" width="9.140625" style="122"/>
    <col min="2561" max="2561" width="84.85546875" style="122" bestFit="1" customWidth="1"/>
    <col min="2562" max="2584" width="9.140625" style="122"/>
    <col min="2585" max="2585" width="11.28515625" style="122" bestFit="1" customWidth="1"/>
    <col min="2586" max="2816" width="9.140625" style="122"/>
    <col min="2817" max="2817" width="84.85546875" style="122" bestFit="1" customWidth="1"/>
    <col min="2818" max="2840" width="9.140625" style="122"/>
    <col min="2841" max="2841" width="11.28515625" style="122" bestFit="1" customWidth="1"/>
    <col min="2842" max="3072" width="9.140625" style="122"/>
    <col min="3073" max="3073" width="84.85546875" style="122" bestFit="1" customWidth="1"/>
    <col min="3074" max="3096" width="9.140625" style="122"/>
    <col min="3097" max="3097" width="11.28515625" style="122" bestFit="1" customWidth="1"/>
    <col min="3098" max="3328" width="9.140625" style="122"/>
    <col min="3329" max="3329" width="84.85546875" style="122" bestFit="1" customWidth="1"/>
    <col min="3330" max="3352" width="9.140625" style="122"/>
    <col min="3353" max="3353" width="11.28515625" style="122" bestFit="1" customWidth="1"/>
    <col min="3354" max="3584" width="9.140625" style="122"/>
    <col min="3585" max="3585" width="84.85546875" style="122" bestFit="1" customWidth="1"/>
    <col min="3586" max="3608" width="9.140625" style="122"/>
    <col min="3609" max="3609" width="11.28515625" style="122" bestFit="1" customWidth="1"/>
    <col min="3610" max="3840" width="9.140625" style="122"/>
    <col min="3841" max="3841" width="84.85546875" style="122" bestFit="1" customWidth="1"/>
    <col min="3842" max="3864" width="9.140625" style="122"/>
    <col min="3865" max="3865" width="11.28515625" style="122" bestFit="1" customWidth="1"/>
    <col min="3866" max="4096" width="9.140625" style="122"/>
    <col min="4097" max="4097" width="84.85546875" style="122" bestFit="1" customWidth="1"/>
    <col min="4098" max="4120" width="9.140625" style="122"/>
    <col min="4121" max="4121" width="11.28515625" style="122" bestFit="1" customWidth="1"/>
    <col min="4122" max="4352" width="9.140625" style="122"/>
    <col min="4353" max="4353" width="84.85546875" style="122" bestFit="1" customWidth="1"/>
    <col min="4354" max="4376" width="9.140625" style="122"/>
    <col min="4377" max="4377" width="11.28515625" style="122" bestFit="1" customWidth="1"/>
    <col min="4378" max="4608" width="9.140625" style="122"/>
    <col min="4609" max="4609" width="84.85546875" style="122" bestFit="1" customWidth="1"/>
    <col min="4610" max="4632" width="9.140625" style="122"/>
    <col min="4633" max="4633" width="11.28515625" style="122" bestFit="1" customWidth="1"/>
    <col min="4634" max="4864" width="9.140625" style="122"/>
    <col min="4865" max="4865" width="84.85546875" style="122" bestFit="1" customWidth="1"/>
    <col min="4866" max="4888" width="9.140625" style="122"/>
    <col min="4889" max="4889" width="11.28515625" style="122" bestFit="1" customWidth="1"/>
    <col min="4890" max="5120" width="9.140625" style="122"/>
    <col min="5121" max="5121" width="84.85546875" style="122" bestFit="1" customWidth="1"/>
    <col min="5122" max="5144" width="9.140625" style="122"/>
    <col min="5145" max="5145" width="11.28515625" style="122" bestFit="1" customWidth="1"/>
    <col min="5146" max="5376" width="9.140625" style="122"/>
    <col min="5377" max="5377" width="84.85546875" style="122" bestFit="1" customWidth="1"/>
    <col min="5378" max="5400" width="9.140625" style="122"/>
    <col min="5401" max="5401" width="11.28515625" style="122" bestFit="1" customWidth="1"/>
    <col min="5402" max="5632" width="9.140625" style="122"/>
    <col min="5633" max="5633" width="84.85546875" style="122" bestFit="1" customWidth="1"/>
    <col min="5634" max="5656" width="9.140625" style="122"/>
    <col min="5657" max="5657" width="11.28515625" style="122" bestFit="1" customWidth="1"/>
    <col min="5658" max="5888" width="9.140625" style="122"/>
    <col min="5889" max="5889" width="84.85546875" style="122" bestFit="1" customWidth="1"/>
    <col min="5890" max="5912" width="9.140625" style="122"/>
    <col min="5913" max="5913" width="11.28515625" style="122" bestFit="1" customWidth="1"/>
    <col min="5914" max="6144" width="9.140625" style="122"/>
    <col min="6145" max="6145" width="84.85546875" style="122" bestFit="1" customWidth="1"/>
    <col min="6146" max="6168" width="9.140625" style="122"/>
    <col min="6169" max="6169" width="11.28515625" style="122" bestFit="1" customWidth="1"/>
    <col min="6170" max="6400" width="9.140625" style="122"/>
    <col min="6401" max="6401" width="84.85546875" style="122" bestFit="1" customWidth="1"/>
    <col min="6402" max="6424" width="9.140625" style="122"/>
    <col min="6425" max="6425" width="11.28515625" style="122" bestFit="1" customWidth="1"/>
    <col min="6426" max="6656" width="9.140625" style="122"/>
    <col min="6657" max="6657" width="84.85546875" style="122" bestFit="1" customWidth="1"/>
    <col min="6658" max="6680" width="9.140625" style="122"/>
    <col min="6681" max="6681" width="11.28515625" style="122" bestFit="1" customWidth="1"/>
    <col min="6682" max="6912" width="9.140625" style="122"/>
    <col min="6913" max="6913" width="84.85546875" style="122" bestFit="1" customWidth="1"/>
    <col min="6914" max="6936" width="9.140625" style="122"/>
    <col min="6937" max="6937" width="11.28515625" style="122" bestFit="1" customWidth="1"/>
    <col min="6938" max="7168" width="9.140625" style="122"/>
    <col min="7169" max="7169" width="84.85546875" style="122" bestFit="1" customWidth="1"/>
    <col min="7170" max="7192" width="9.140625" style="122"/>
    <col min="7193" max="7193" width="11.28515625" style="122" bestFit="1" customWidth="1"/>
    <col min="7194" max="7424" width="9.140625" style="122"/>
    <col min="7425" max="7425" width="84.85546875" style="122" bestFit="1" customWidth="1"/>
    <col min="7426" max="7448" width="9.140625" style="122"/>
    <col min="7449" max="7449" width="11.28515625" style="122" bestFit="1" customWidth="1"/>
    <col min="7450" max="7680" width="9.140625" style="122"/>
    <col min="7681" max="7681" width="84.85546875" style="122" bestFit="1" customWidth="1"/>
    <col min="7682" max="7704" width="9.140625" style="122"/>
    <col min="7705" max="7705" width="11.28515625" style="122" bestFit="1" customWidth="1"/>
    <col min="7706" max="7936" width="9.140625" style="122"/>
    <col min="7937" max="7937" width="84.85546875" style="122" bestFit="1" customWidth="1"/>
    <col min="7938" max="7960" width="9.140625" style="122"/>
    <col min="7961" max="7961" width="11.28515625" style="122" bestFit="1" customWidth="1"/>
    <col min="7962" max="8192" width="9.140625" style="122"/>
    <col min="8193" max="8193" width="84.85546875" style="122" bestFit="1" customWidth="1"/>
    <col min="8194" max="8216" width="9.140625" style="122"/>
    <col min="8217" max="8217" width="11.28515625" style="122" bestFit="1" customWidth="1"/>
    <col min="8218" max="8448" width="9.140625" style="122"/>
    <col min="8449" max="8449" width="84.85546875" style="122" bestFit="1" customWidth="1"/>
    <col min="8450" max="8472" width="9.140625" style="122"/>
    <col min="8473" max="8473" width="11.28515625" style="122" bestFit="1" customWidth="1"/>
    <col min="8474" max="8704" width="9.140625" style="122"/>
    <col min="8705" max="8705" width="84.85546875" style="122" bestFit="1" customWidth="1"/>
    <col min="8706" max="8728" width="9.140625" style="122"/>
    <col min="8729" max="8729" width="11.28515625" style="122" bestFit="1" customWidth="1"/>
    <col min="8730" max="8960" width="9.140625" style="122"/>
    <col min="8961" max="8961" width="84.85546875" style="122" bestFit="1" customWidth="1"/>
    <col min="8962" max="8984" width="9.140625" style="122"/>
    <col min="8985" max="8985" width="11.28515625" style="122" bestFit="1" customWidth="1"/>
    <col min="8986" max="9216" width="9.140625" style="122"/>
    <col min="9217" max="9217" width="84.85546875" style="122" bestFit="1" customWidth="1"/>
    <col min="9218" max="9240" width="9.140625" style="122"/>
    <col min="9241" max="9241" width="11.28515625" style="122" bestFit="1" customWidth="1"/>
    <col min="9242" max="9472" width="9.140625" style="122"/>
    <col min="9473" max="9473" width="84.85546875" style="122" bestFit="1" customWidth="1"/>
    <col min="9474" max="9496" width="9.140625" style="122"/>
    <col min="9497" max="9497" width="11.28515625" style="122" bestFit="1" customWidth="1"/>
    <col min="9498" max="9728" width="9.140625" style="122"/>
    <col min="9729" max="9729" width="84.85546875" style="122" bestFit="1" customWidth="1"/>
    <col min="9730" max="9752" width="9.140625" style="122"/>
    <col min="9753" max="9753" width="11.28515625" style="122" bestFit="1" customWidth="1"/>
    <col min="9754" max="9984" width="9.140625" style="122"/>
    <col min="9985" max="9985" width="84.85546875" style="122" bestFit="1" customWidth="1"/>
    <col min="9986" max="10008" width="9.140625" style="122"/>
    <col min="10009" max="10009" width="11.28515625" style="122" bestFit="1" customWidth="1"/>
    <col min="10010" max="10240" width="9.140625" style="122"/>
    <col min="10241" max="10241" width="84.85546875" style="122" bestFit="1" customWidth="1"/>
    <col min="10242" max="10264" width="9.140625" style="122"/>
    <col min="10265" max="10265" width="11.28515625" style="122" bestFit="1" customWidth="1"/>
    <col min="10266" max="10496" width="9.140625" style="122"/>
    <col min="10497" max="10497" width="84.85546875" style="122" bestFit="1" customWidth="1"/>
    <col min="10498" max="10520" width="9.140625" style="122"/>
    <col min="10521" max="10521" width="11.28515625" style="122" bestFit="1" customWidth="1"/>
    <col min="10522" max="10752" width="9.140625" style="122"/>
    <col min="10753" max="10753" width="84.85546875" style="122" bestFit="1" customWidth="1"/>
    <col min="10754" max="10776" width="9.140625" style="122"/>
    <col min="10777" max="10777" width="11.28515625" style="122" bestFit="1" customWidth="1"/>
    <col min="10778" max="11008" width="9.140625" style="122"/>
    <col min="11009" max="11009" width="84.85546875" style="122" bestFit="1" customWidth="1"/>
    <col min="11010" max="11032" width="9.140625" style="122"/>
    <col min="11033" max="11033" width="11.28515625" style="122" bestFit="1" customWidth="1"/>
    <col min="11034" max="11264" width="9.140625" style="122"/>
    <col min="11265" max="11265" width="84.85546875" style="122" bestFit="1" customWidth="1"/>
    <col min="11266" max="11288" width="9.140625" style="122"/>
    <col min="11289" max="11289" width="11.28515625" style="122" bestFit="1" customWidth="1"/>
    <col min="11290" max="11520" width="9.140625" style="122"/>
    <col min="11521" max="11521" width="84.85546875" style="122" bestFit="1" customWidth="1"/>
    <col min="11522" max="11544" width="9.140625" style="122"/>
    <col min="11545" max="11545" width="11.28515625" style="122" bestFit="1" customWidth="1"/>
    <col min="11546" max="11776" width="9.140625" style="122"/>
    <col min="11777" max="11777" width="84.85546875" style="122" bestFit="1" customWidth="1"/>
    <col min="11778" max="11800" width="9.140625" style="122"/>
    <col min="11801" max="11801" width="11.28515625" style="122" bestFit="1" customWidth="1"/>
    <col min="11802" max="12032" width="9.140625" style="122"/>
    <col min="12033" max="12033" width="84.85546875" style="122" bestFit="1" customWidth="1"/>
    <col min="12034" max="12056" width="9.140625" style="122"/>
    <col min="12057" max="12057" width="11.28515625" style="122" bestFit="1" customWidth="1"/>
    <col min="12058" max="12288" width="9.140625" style="122"/>
    <col min="12289" max="12289" width="84.85546875" style="122" bestFit="1" customWidth="1"/>
    <col min="12290" max="12312" width="9.140625" style="122"/>
    <col min="12313" max="12313" width="11.28515625" style="122" bestFit="1" customWidth="1"/>
    <col min="12314" max="12544" width="9.140625" style="122"/>
    <col min="12545" max="12545" width="84.85546875" style="122" bestFit="1" customWidth="1"/>
    <col min="12546" max="12568" width="9.140625" style="122"/>
    <col min="12569" max="12569" width="11.28515625" style="122" bestFit="1" customWidth="1"/>
    <col min="12570" max="12800" width="9.140625" style="122"/>
    <col min="12801" max="12801" width="84.85546875" style="122" bestFit="1" customWidth="1"/>
    <col min="12802" max="12824" width="9.140625" style="122"/>
    <col min="12825" max="12825" width="11.28515625" style="122" bestFit="1" customWidth="1"/>
    <col min="12826" max="13056" width="9.140625" style="122"/>
    <col min="13057" max="13057" width="84.85546875" style="122" bestFit="1" customWidth="1"/>
    <col min="13058" max="13080" width="9.140625" style="122"/>
    <col min="13081" max="13081" width="11.28515625" style="122" bestFit="1" customWidth="1"/>
    <col min="13082" max="13312" width="9.140625" style="122"/>
    <col min="13313" max="13313" width="84.85546875" style="122" bestFit="1" customWidth="1"/>
    <col min="13314" max="13336" width="9.140625" style="122"/>
    <col min="13337" max="13337" width="11.28515625" style="122" bestFit="1" customWidth="1"/>
    <col min="13338" max="13568" width="9.140625" style="122"/>
    <col min="13569" max="13569" width="84.85546875" style="122" bestFit="1" customWidth="1"/>
    <col min="13570" max="13592" width="9.140625" style="122"/>
    <col min="13593" max="13593" width="11.28515625" style="122" bestFit="1" customWidth="1"/>
    <col min="13594" max="13824" width="9.140625" style="122"/>
    <col min="13825" max="13825" width="84.85546875" style="122" bestFit="1" customWidth="1"/>
    <col min="13826" max="13848" width="9.140625" style="122"/>
    <col min="13849" max="13849" width="11.28515625" style="122" bestFit="1" customWidth="1"/>
    <col min="13850" max="14080" width="9.140625" style="122"/>
    <col min="14081" max="14081" width="84.85546875" style="122" bestFit="1" customWidth="1"/>
    <col min="14082" max="14104" width="9.140625" style="122"/>
    <col min="14105" max="14105" width="11.28515625" style="122" bestFit="1" customWidth="1"/>
    <col min="14106" max="14336" width="9.140625" style="122"/>
    <col min="14337" max="14337" width="84.85546875" style="122" bestFit="1" customWidth="1"/>
    <col min="14338" max="14360" width="9.140625" style="122"/>
    <col min="14361" max="14361" width="11.28515625" style="122" bestFit="1" customWidth="1"/>
    <col min="14362" max="14592" width="9.140625" style="122"/>
    <col min="14593" max="14593" width="84.85546875" style="122" bestFit="1" customWidth="1"/>
    <col min="14594" max="14616" width="9.140625" style="122"/>
    <col min="14617" max="14617" width="11.28515625" style="122" bestFit="1" customWidth="1"/>
    <col min="14618" max="14848" width="9.140625" style="122"/>
    <col min="14849" max="14849" width="84.85546875" style="122" bestFit="1" customWidth="1"/>
    <col min="14850" max="14872" width="9.140625" style="122"/>
    <col min="14873" max="14873" width="11.28515625" style="122" bestFit="1" customWidth="1"/>
    <col min="14874" max="15104" width="9.140625" style="122"/>
    <col min="15105" max="15105" width="84.85546875" style="122" bestFit="1" customWidth="1"/>
    <col min="15106" max="15128" width="9.140625" style="122"/>
    <col min="15129" max="15129" width="11.28515625" style="122" bestFit="1" customWidth="1"/>
    <col min="15130" max="15360" width="9.140625" style="122"/>
    <col min="15361" max="15361" width="84.85546875" style="122" bestFit="1" customWidth="1"/>
    <col min="15362" max="15384" width="9.140625" style="122"/>
    <col min="15385" max="15385" width="11.28515625" style="122" bestFit="1" customWidth="1"/>
    <col min="15386" max="15616" width="9.140625" style="122"/>
    <col min="15617" max="15617" width="84.85546875" style="122" bestFit="1" customWidth="1"/>
    <col min="15618" max="15640" width="9.140625" style="122"/>
    <col min="15641" max="15641" width="11.28515625" style="122" bestFit="1" customWidth="1"/>
    <col min="15642" max="15872" width="9.140625" style="122"/>
    <col min="15873" max="15873" width="84.85546875" style="122" bestFit="1" customWidth="1"/>
    <col min="15874" max="15896" width="9.140625" style="122"/>
    <col min="15897" max="15897" width="11.28515625" style="122" bestFit="1" customWidth="1"/>
    <col min="15898" max="16128" width="9.140625" style="122"/>
    <col min="16129" max="16129" width="84.85546875" style="122" bestFit="1" customWidth="1"/>
    <col min="16130" max="16152" width="9.140625" style="122"/>
    <col min="16153" max="16153" width="11.28515625" style="122" bestFit="1" customWidth="1"/>
    <col min="16154" max="16384" width="9.140625" style="122"/>
  </cols>
  <sheetData>
    <row r="1" spans="1:25" x14ac:dyDescent="0.2">
      <c r="A1" s="122" t="s">
        <v>776</v>
      </c>
    </row>
    <row r="2" spans="1:25" x14ac:dyDescent="0.2">
      <c r="A2" s="122" t="s">
        <v>777</v>
      </c>
    </row>
    <row r="3" spans="1:25" x14ac:dyDescent="0.2">
      <c r="A3" s="122" t="s">
        <v>778</v>
      </c>
    </row>
    <row r="5" spans="1:25" x14ac:dyDescent="0.2">
      <c r="A5" s="123"/>
      <c r="B5" s="460" t="s">
        <v>779</v>
      </c>
      <c r="C5" s="460"/>
      <c r="D5" s="460"/>
      <c r="E5" s="460" t="s">
        <v>780</v>
      </c>
      <c r="F5" s="460"/>
      <c r="G5" s="460"/>
      <c r="H5" s="460" t="s">
        <v>781</v>
      </c>
      <c r="I5" s="460"/>
      <c r="J5" s="460"/>
      <c r="K5" s="460" t="s">
        <v>782</v>
      </c>
      <c r="L5" s="460"/>
      <c r="M5" s="460"/>
      <c r="N5" s="460" t="s">
        <v>783</v>
      </c>
      <c r="O5" s="460"/>
      <c r="P5" s="460"/>
      <c r="Q5" s="460" t="s">
        <v>755</v>
      </c>
      <c r="R5" s="460" t="s">
        <v>756</v>
      </c>
      <c r="S5" s="460" t="s">
        <v>784</v>
      </c>
      <c r="T5" s="460"/>
      <c r="U5" s="460"/>
      <c r="V5" s="460" t="s">
        <v>785</v>
      </c>
      <c r="W5" s="460" t="s">
        <v>786</v>
      </c>
      <c r="X5" s="460"/>
      <c r="Y5" s="460"/>
    </row>
    <row r="6" spans="1:25" ht="13.5" thickBot="1" x14ac:dyDescent="0.25">
      <c r="A6" s="123" t="s">
        <v>787</v>
      </c>
      <c r="B6" s="123" t="s">
        <v>788</v>
      </c>
      <c r="C6" s="123" t="s">
        <v>789</v>
      </c>
      <c r="D6" s="123" t="s">
        <v>790</v>
      </c>
      <c r="E6" s="123" t="s">
        <v>788</v>
      </c>
      <c r="F6" s="123" t="s">
        <v>789</v>
      </c>
      <c r="G6" s="123" t="s">
        <v>790</v>
      </c>
      <c r="H6" s="123" t="s">
        <v>788</v>
      </c>
      <c r="I6" s="123" t="s">
        <v>789</v>
      </c>
      <c r="J6" s="123" t="s">
        <v>790</v>
      </c>
      <c r="K6" s="123" t="s">
        <v>788</v>
      </c>
      <c r="L6" s="123" t="s">
        <v>789</v>
      </c>
      <c r="M6" s="123" t="s">
        <v>790</v>
      </c>
      <c r="N6" s="123" t="s">
        <v>788</v>
      </c>
      <c r="O6" s="123" t="s">
        <v>789</v>
      </c>
      <c r="P6" s="123" t="s">
        <v>790</v>
      </c>
      <c r="Q6" s="460"/>
      <c r="R6" s="460"/>
      <c r="S6" s="123" t="s">
        <v>788</v>
      </c>
      <c r="T6" s="123" t="s">
        <v>789</v>
      </c>
      <c r="U6" s="123" t="s">
        <v>790</v>
      </c>
      <c r="V6" s="460"/>
      <c r="W6" s="123" t="s">
        <v>788</v>
      </c>
      <c r="X6" s="123" t="s">
        <v>789</v>
      </c>
      <c r="Y6" s="123" t="s">
        <v>790</v>
      </c>
    </row>
    <row r="7" spans="1:25" ht="16.5" thickBot="1" x14ac:dyDescent="0.3">
      <c r="A7" s="123" t="s">
        <v>791</v>
      </c>
      <c r="B7" s="124">
        <v>3</v>
      </c>
      <c r="C7" s="124">
        <v>4</v>
      </c>
      <c r="D7" s="124">
        <v>5.5</v>
      </c>
      <c r="E7" s="125">
        <v>0.8</v>
      </c>
      <c r="F7" s="125">
        <v>0.8</v>
      </c>
      <c r="G7" s="125">
        <v>1</v>
      </c>
      <c r="H7" s="124">
        <v>0.97</v>
      </c>
      <c r="I7" s="124">
        <v>1.27</v>
      </c>
      <c r="J7" s="124">
        <v>1.27</v>
      </c>
      <c r="K7" s="125">
        <v>0.59</v>
      </c>
      <c r="L7" s="125">
        <v>1.23</v>
      </c>
      <c r="M7" s="125">
        <v>1.39</v>
      </c>
      <c r="N7" s="124">
        <v>6.16</v>
      </c>
      <c r="O7" s="124">
        <v>7.4</v>
      </c>
      <c r="P7" s="124">
        <v>8.9600000000000009</v>
      </c>
      <c r="Q7" s="126">
        <v>3</v>
      </c>
      <c r="R7" s="126">
        <v>0.65</v>
      </c>
      <c r="S7" s="125">
        <v>2</v>
      </c>
      <c r="T7" s="125">
        <f>(S7+U7)/2</f>
        <v>3.5</v>
      </c>
      <c r="U7" s="125">
        <v>5</v>
      </c>
      <c r="V7" s="123">
        <v>2</v>
      </c>
      <c r="W7" s="127">
        <v>20.34</v>
      </c>
      <c r="X7" s="127">
        <v>22.12</v>
      </c>
      <c r="Y7" s="127">
        <v>25</v>
      </c>
    </row>
    <row r="8" spans="1:25" ht="16.5" thickBot="1" x14ac:dyDescent="0.3">
      <c r="A8" s="123" t="s">
        <v>792</v>
      </c>
      <c r="B8" s="124">
        <v>3.8</v>
      </c>
      <c r="C8" s="124">
        <v>4.01</v>
      </c>
      <c r="D8" s="124">
        <v>4.67</v>
      </c>
      <c r="E8" s="125">
        <v>0.32</v>
      </c>
      <c r="F8" s="125">
        <v>0.4</v>
      </c>
      <c r="G8" s="125">
        <v>0.74</v>
      </c>
      <c r="H8" s="124">
        <v>0.5</v>
      </c>
      <c r="I8" s="124">
        <v>0.56000000000000005</v>
      </c>
      <c r="J8" s="124">
        <v>0.97</v>
      </c>
      <c r="K8" s="125">
        <v>1.02</v>
      </c>
      <c r="L8" s="125">
        <v>1.1100000000000001</v>
      </c>
      <c r="M8" s="125">
        <v>1.21</v>
      </c>
      <c r="N8" s="124">
        <v>6.64</v>
      </c>
      <c r="O8" s="124">
        <v>7.3</v>
      </c>
      <c r="P8" s="124">
        <v>8.69</v>
      </c>
      <c r="Q8" s="126">
        <v>3</v>
      </c>
      <c r="R8" s="126">
        <v>0.65</v>
      </c>
      <c r="S8" s="125">
        <v>2</v>
      </c>
      <c r="T8" s="125">
        <f t="shared" ref="T8:T14" si="0">(S8+U8)/2</f>
        <v>3.5</v>
      </c>
      <c r="U8" s="125">
        <v>5</v>
      </c>
      <c r="V8" s="123">
        <v>2</v>
      </c>
      <c r="W8" s="127">
        <v>19.600000000000001</v>
      </c>
      <c r="X8" s="127">
        <v>20.97</v>
      </c>
      <c r="Y8" s="127">
        <v>24.23</v>
      </c>
    </row>
    <row r="9" spans="1:25" ht="16.5" thickBot="1" x14ac:dyDescent="0.3">
      <c r="A9" s="123" t="s">
        <v>793</v>
      </c>
      <c r="B9" s="124">
        <v>3.8</v>
      </c>
      <c r="C9" s="124">
        <v>4.01</v>
      </c>
      <c r="D9" s="124">
        <v>4.67</v>
      </c>
      <c r="E9" s="125">
        <v>0.32</v>
      </c>
      <c r="F9" s="125">
        <v>0.4</v>
      </c>
      <c r="G9" s="125">
        <v>0.74</v>
      </c>
      <c r="H9" s="124">
        <v>0.5</v>
      </c>
      <c r="I9" s="124">
        <v>0.56000000000000005</v>
      </c>
      <c r="J9" s="124">
        <v>0.97</v>
      </c>
      <c r="K9" s="125">
        <v>1.02</v>
      </c>
      <c r="L9" s="125">
        <v>1.1100000000000001</v>
      </c>
      <c r="M9" s="125">
        <v>1.21</v>
      </c>
      <c r="N9" s="124">
        <v>6.64</v>
      </c>
      <c r="O9" s="124">
        <v>7.3</v>
      </c>
      <c r="P9" s="124">
        <v>8.69</v>
      </c>
      <c r="Q9" s="126">
        <v>3</v>
      </c>
      <c r="R9" s="126">
        <v>0.65</v>
      </c>
      <c r="S9" s="125">
        <v>2</v>
      </c>
      <c r="T9" s="125">
        <f>(S9+U9)/2</f>
        <v>3.5</v>
      </c>
      <c r="U9" s="125">
        <v>5</v>
      </c>
      <c r="V9" s="123">
        <v>2</v>
      </c>
      <c r="W9" s="127">
        <v>19.600000000000001</v>
      </c>
      <c r="X9" s="127">
        <v>20.97</v>
      </c>
      <c r="Y9" s="127">
        <v>24.23</v>
      </c>
    </row>
    <row r="10" spans="1:25" ht="16.5" thickBot="1" x14ac:dyDescent="0.3">
      <c r="A10" s="123" t="s">
        <v>794</v>
      </c>
      <c r="B10" s="124">
        <v>3.8</v>
      </c>
      <c r="C10" s="124">
        <v>4.01</v>
      </c>
      <c r="D10" s="124">
        <v>4.67</v>
      </c>
      <c r="E10" s="125">
        <v>0.32</v>
      </c>
      <c r="F10" s="125">
        <v>0.4</v>
      </c>
      <c r="G10" s="125">
        <v>0.74</v>
      </c>
      <c r="H10" s="124">
        <v>0.5</v>
      </c>
      <c r="I10" s="124">
        <v>0.56000000000000005</v>
      </c>
      <c r="J10" s="124">
        <v>0.97</v>
      </c>
      <c r="K10" s="125">
        <v>1.02</v>
      </c>
      <c r="L10" s="125">
        <v>1.1100000000000001</v>
      </c>
      <c r="M10" s="125">
        <v>1.21</v>
      </c>
      <c r="N10" s="124">
        <v>6.64</v>
      </c>
      <c r="O10" s="124">
        <v>7.3</v>
      </c>
      <c r="P10" s="124">
        <v>8.69</v>
      </c>
      <c r="Q10" s="126">
        <v>3</v>
      </c>
      <c r="R10" s="126">
        <v>0.65</v>
      </c>
      <c r="S10" s="125">
        <v>2</v>
      </c>
      <c r="T10" s="125">
        <f t="shared" si="0"/>
        <v>3.5</v>
      </c>
      <c r="U10" s="125">
        <v>5</v>
      </c>
      <c r="V10" s="123">
        <v>2</v>
      </c>
      <c r="W10" s="127">
        <v>19.600000000000001</v>
      </c>
      <c r="X10" s="127">
        <v>20.97</v>
      </c>
      <c r="Y10" s="127">
        <v>24.23</v>
      </c>
    </row>
    <row r="11" spans="1:25" ht="16.5" thickBot="1" x14ac:dyDescent="0.3">
      <c r="A11" s="123" t="s">
        <v>795</v>
      </c>
      <c r="B11" s="124">
        <v>3.43</v>
      </c>
      <c r="C11" s="124">
        <v>4.93</v>
      </c>
      <c r="D11" s="124">
        <v>6.71</v>
      </c>
      <c r="E11" s="125">
        <v>0.28000000000000003</v>
      </c>
      <c r="F11" s="125">
        <v>0.49</v>
      </c>
      <c r="G11" s="125">
        <v>0.75</v>
      </c>
      <c r="H11" s="124">
        <v>1</v>
      </c>
      <c r="I11" s="124">
        <v>1.39</v>
      </c>
      <c r="J11" s="124">
        <v>1.74</v>
      </c>
      <c r="K11" s="125">
        <v>0.94</v>
      </c>
      <c r="L11" s="125">
        <v>0.99</v>
      </c>
      <c r="M11" s="125">
        <v>1.17</v>
      </c>
      <c r="N11" s="124">
        <v>6.74</v>
      </c>
      <c r="O11" s="124">
        <v>8.0399999999999991</v>
      </c>
      <c r="P11" s="124">
        <v>9.4</v>
      </c>
      <c r="Q11" s="126">
        <v>3</v>
      </c>
      <c r="R11" s="126">
        <v>0.65</v>
      </c>
      <c r="S11" s="125">
        <v>2</v>
      </c>
      <c r="T11" s="125">
        <f t="shared" si="0"/>
        <v>3.5</v>
      </c>
      <c r="U11" s="125">
        <v>5</v>
      </c>
      <c r="V11" s="123">
        <v>2</v>
      </c>
      <c r="W11" s="127">
        <v>20.76</v>
      </c>
      <c r="X11" s="127">
        <v>24.18</v>
      </c>
      <c r="Y11" s="127">
        <v>26.44</v>
      </c>
    </row>
    <row r="12" spans="1:25" ht="16.5" thickBot="1" x14ac:dyDescent="0.3">
      <c r="A12" s="123" t="s">
        <v>796</v>
      </c>
      <c r="B12" s="124">
        <v>5.29</v>
      </c>
      <c r="C12" s="124">
        <v>5.92</v>
      </c>
      <c r="D12" s="124">
        <v>7.93</v>
      </c>
      <c r="E12" s="125">
        <v>0.25</v>
      </c>
      <c r="F12" s="125">
        <v>0.51</v>
      </c>
      <c r="G12" s="125">
        <v>0.56000000000000005</v>
      </c>
      <c r="H12" s="124">
        <v>1</v>
      </c>
      <c r="I12" s="124">
        <v>1.48</v>
      </c>
      <c r="J12" s="124">
        <v>1.97</v>
      </c>
      <c r="K12" s="125">
        <v>1.01</v>
      </c>
      <c r="L12" s="125">
        <v>1.07</v>
      </c>
      <c r="M12" s="125">
        <v>1.1100000000000001</v>
      </c>
      <c r="N12" s="124">
        <v>8</v>
      </c>
      <c r="O12" s="124">
        <v>8.31</v>
      </c>
      <c r="P12" s="124">
        <v>9.51</v>
      </c>
      <c r="Q12" s="126">
        <v>3</v>
      </c>
      <c r="R12" s="126">
        <v>0.65</v>
      </c>
      <c r="S12" s="125">
        <v>2</v>
      </c>
      <c r="T12" s="125">
        <f t="shared" si="0"/>
        <v>3.5</v>
      </c>
      <c r="U12" s="125">
        <v>5</v>
      </c>
      <c r="V12" s="123">
        <v>2</v>
      </c>
      <c r="W12" s="127">
        <v>24</v>
      </c>
      <c r="X12" s="127">
        <v>25.84</v>
      </c>
      <c r="Y12" s="127">
        <v>27.86</v>
      </c>
    </row>
    <row r="13" spans="1:25" ht="16.5" thickBot="1" x14ac:dyDescent="0.3">
      <c r="A13" s="123" t="s">
        <v>797</v>
      </c>
      <c r="B13" s="124">
        <v>4</v>
      </c>
      <c r="C13" s="124">
        <v>5.52</v>
      </c>
      <c r="D13" s="124">
        <v>7.85</v>
      </c>
      <c r="E13" s="125">
        <v>0.81</v>
      </c>
      <c r="F13" s="125">
        <v>1.22</v>
      </c>
      <c r="G13" s="125">
        <v>1.99</v>
      </c>
      <c r="H13" s="124">
        <v>1.46</v>
      </c>
      <c r="I13" s="124">
        <v>2.3199999999999998</v>
      </c>
      <c r="J13" s="124">
        <v>3.16</v>
      </c>
      <c r="K13" s="125">
        <v>0.94</v>
      </c>
      <c r="L13" s="125">
        <v>1.02</v>
      </c>
      <c r="M13" s="125">
        <v>1.33</v>
      </c>
      <c r="N13" s="124">
        <v>7.14</v>
      </c>
      <c r="O13" s="124">
        <v>8.4</v>
      </c>
      <c r="P13" s="124">
        <v>10.43</v>
      </c>
      <c r="Q13" s="126">
        <v>3</v>
      </c>
      <c r="R13" s="126">
        <v>0.65</v>
      </c>
      <c r="S13" s="125">
        <v>2</v>
      </c>
      <c r="T13" s="125">
        <f t="shared" si="0"/>
        <v>3.5</v>
      </c>
      <c r="U13" s="125">
        <v>5</v>
      </c>
      <c r="V13" s="123">
        <v>2</v>
      </c>
      <c r="W13" s="127">
        <v>22.8</v>
      </c>
      <c r="X13" s="127">
        <v>27.48</v>
      </c>
      <c r="Y13" s="127">
        <v>30.95</v>
      </c>
    </row>
    <row r="14" spans="1:25" ht="16.5" thickBot="1" x14ac:dyDescent="0.3">
      <c r="A14" s="123" t="s">
        <v>740</v>
      </c>
      <c r="B14" s="124">
        <v>1.5</v>
      </c>
      <c r="C14" s="124">
        <v>3.45</v>
      </c>
      <c r="D14" s="124">
        <v>4.49</v>
      </c>
      <c r="E14" s="125">
        <v>0.3</v>
      </c>
      <c r="F14" s="125">
        <v>0.48</v>
      </c>
      <c r="G14" s="125">
        <v>0.82</v>
      </c>
      <c r="H14" s="124">
        <v>0.56000000000000005</v>
      </c>
      <c r="I14" s="124">
        <v>0.85</v>
      </c>
      <c r="J14" s="124">
        <v>0.89</v>
      </c>
      <c r="K14" s="125">
        <v>0.85</v>
      </c>
      <c r="L14" s="125">
        <v>0.85</v>
      </c>
      <c r="M14" s="125">
        <v>1.1100000000000001</v>
      </c>
      <c r="N14" s="124">
        <v>3.5</v>
      </c>
      <c r="O14" s="124">
        <v>5.1100000000000003</v>
      </c>
      <c r="P14" s="124">
        <v>6.22</v>
      </c>
      <c r="Q14" s="126">
        <v>3</v>
      </c>
      <c r="R14" s="126">
        <v>0.65</v>
      </c>
      <c r="S14" s="125">
        <v>2</v>
      </c>
      <c r="T14" s="125">
        <f t="shared" si="0"/>
        <v>3.5</v>
      </c>
      <c r="U14" s="125">
        <v>5</v>
      </c>
      <c r="V14" s="123">
        <v>2</v>
      </c>
      <c r="W14" s="127">
        <v>11.1</v>
      </c>
      <c r="X14" s="127">
        <v>14.02</v>
      </c>
      <c r="Y14" s="127">
        <v>16.8</v>
      </c>
    </row>
    <row r="17" spans="1:12" ht="12.75" customHeight="1" x14ac:dyDescent="0.2">
      <c r="A17" s="128"/>
      <c r="B17" s="461"/>
      <c r="C17" s="461"/>
      <c r="D17" s="461"/>
      <c r="F17" s="461"/>
      <c r="G17" s="461"/>
      <c r="H17" s="461"/>
      <c r="J17" s="461"/>
      <c r="K17" s="461"/>
      <c r="L17" s="461"/>
    </row>
    <row r="18" spans="1:12" x14ac:dyDescent="0.2">
      <c r="B18" s="461"/>
      <c r="C18" s="461"/>
      <c r="D18" s="461"/>
      <c r="F18" s="461"/>
      <c r="G18" s="461"/>
      <c r="H18" s="461"/>
      <c r="J18" s="461"/>
      <c r="K18" s="461"/>
      <c r="L18" s="461"/>
    </row>
  </sheetData>
  <sheetProtection password="D921" sheet="1" formatCells="0" formatColumns="0" formatRows="0" insertColumns="0" insertRows="0" insertHyperlinks="0" deleteColumns="0" deleteRows="0" sort="0" autoFilter="0" pivotTables="0"/>
  <mergeCells count="13">
    <mergeCell ref="R5:R6"/>
    <mergeCell ref="S5:U5"/>
    <mergeCell ref="V5:V6"/>
    <mergeCell ref="W5:Y5"/>
    <mergeCell ref="B17:D18"/>
    <mergeCell ref="F17:H18"/>
    <mergeCell ref="J17:L18"/>
    <mergeCell ref="B5:D5"/>
    <mergeCell ref="E5:G5"/>
    <mergeCell ref="H5:J5"/>
    <mergeCell ref="K5:M5"/>
    <mergeCell ref="N5:P5"/>
    <mergeCell ref="Q5:Q6"/>
  </mergeCells>
  <pageMargins left="0.78740157499999996" right="0.78740157499999996" top="0.984251969" bottom="0.984251969" header="0.49212598499999999" footer="0.49212598499999999"/>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8</vt:i4>
      </vt:variant>
    </vt:vector>
  </HeadingPairs>
  <TitlesOfParts>
    <vt:vector size="13" baseType="lpstr">
      <vt:lpstr>Planilha Orçamentária</vt:lpstr>
      <vt:lpstr>Memória de Cálculo</vt:lpstr>
      <vt:lpstr>Cron </vt:lpstr>
      <vt:lpstr>BDI sem justificativa</vt:lpstr>
      <vt:lpstr>Base dados - TCU 2622_2013</vt:lpstr>
      <vt:lpstr>'BDI sem justificativa'!Area_de_impressao</vt:lpstr>
      <vt:lpstr>'Cron '!Area_de_impressao</vt:lpstr>
      <vt:lpstr>'Memória de Cálculo'!Area_de_impressao</vt:lpstr>
      <vt:lpstr>'Planilha Orçamentária'!Area_de_impressao</vt:lpstr>
      <vt:lpstr>sigla_obras</vt:lpstr>
      <vt:lpstr>sigla_sn</vt:lpstr>
      <vt:lpstr>'Memória de Cálculo'!Titulos_de_impressao</vt:lpstr>
      <vt:lpstr>'Planilha Orçamentária'!Titulos_de_impressao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Cliente</dc:creator>
  <cp:lastModifiedBy>Katia Sapedi Pereira Vidal Silva</cp:lastModifiedBy>
  <cp:lastPrinted>2020-09-22T22:59:58Z</cp:lastPrinted>
  <dcterms:created xsi:type="dcterms:W3CDTF">2018-11-28T17:12:56Z</dcterms:created>
  <dcterms:modified xsi:type="dcterms:W3CDTF">2020-10-13T18:32:09Z</dcterms:modified>
</cp:coreProperties>
</file>